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F Otieno\Desktop\"/>
    </mc:Choice>
  </mc:AlternateContent>
  <bookViews>
    <workbookView xWindow="0" yWindow="0" windowWidth="24000" windowHeight="9630"/>
  </bookViews>
  <sheets>
    <sheet name="Questionnaire" sheetId="1" r:id="rId1"/>
    <sheet name="Drugs" sheetId="3" r:id="rId2"/>
    <sheet name="Results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65" i="2" l="1"/>
  <c r="L365" i="2" s="1"/>
  <c r="I321" i="2"/>
  <c r="I300" i="2"/>
  <c r="I286" i="2"/>
  <c r="I282" i="2"/>
  <c r="L282" i="2" s="1"/>
  <c r="I278" i="2"/>
  <c r="I232" i="2"/>
  <c r="I230" i="2"/>
  <c r="I131" i="2"/>
  <c r="I72" i="2"/>
  <c r="I23" i="2"/>
  <c r="I396" i="2"/>
  <c r="I395" i="2"/>
  <c r="L395" i="2" s="1"/>
  <c r="I394" i="2"/>
  <c r="I393" i="2"/>
  <c r="I392" i="2"/>
  <c r="L392" i="2" s="1"/>
  <c r="I391" i="2"/>
  <c r="L391" i="2" s="1"/>
  <c r="I390" i="2"/>
  <c r="L388" i="2"/>
  <c r="L387" i="2"/>
  <c r="I386" i="2"/>
  <c r="L386" i="2" s="1"/>
  <c r="I385" i="2"/>
  <c r="L385" i="2" s="1"/>
  <c r="L384" i="2"/>
  <c r="I383" i="2"/>
  <c r="L383" i="2" s="1"/>
  <c r="I382" i="2"/>
  <c r="I381" i="2"/>
  <c r="L381" i="2" s="1"/>
  <c r="L380" i="2"/>
  <c r="L379" i="2"/>
  <c r="I377" i="2"/>
  <c r="L377" i="2" s="1"/>
  <c r="I376" i="2"/>
  <c r="L376" i="2" s="1"/>
  <c r="I375" i="2"/>
  <c r="L375" i="2" s="1"/>
  <c r="I374" i="2"/>
  <c r="I373" i="2"/>
  <c r="L373" i="2" s="1"/>
  <c r="I372" i="2"/>
  <c r="I371" i="2"/>
  <c r="L371" i="2" s="1"/>
  <c r="I370" i="2"/>
  <c r="I369" i="2"/>
  <c r="L369" i="2" s="1"/>
  <c r="I368" i="2"/>
  <c r="L368" i="2" s="1"/>
  <c r="I367" i="2"/>
  <c r="L366" i="2"/>
  <c r="I364" i="2"/>
  <c r="I363" i="2"/>
  <c r="L363" i="2" s="1"/>
  <c r="I362" i="2"/>
  <c r="L362" i="2" s="1"/>
  <c r="I360" i="2"/>
  <c r="L360" i="2" s="1"/>
  <c r="L359" i="2"/>
  <c r="I353" i="2"/>
  <c r="I358" i="2"/>
  <c r="L357" i="2"/>
  <c r="I356" i="2"/>
  <c r="L356" i="2" s="1"/>
  <c r="I355" i="2"/>
  <c r="I354" i="2"/>
  <c r="I352" i="2"/>
  <c r="L352" i="2" s="1"/>
  <c r="I351" i="2"/>
  <c r="L351" i="2" s="1"/>
  <c r="I350" i="2"/>
  <c r="I349" i="2"/>
  <c r="L348" i="2"/>
  <c r="I347" i="2"/>
  <c r="L347" i="2" s="1"/>
  <c r="I346" i="2"/>
  <c r="I345" i="2"/>
  <c r="I344" i="2"/>
  <c r="L344" i="2" s="1"/>
  <c r="I343" i="2"/>
  <c r="L343" i="2" s="1"/>
  <c r="I342" i="2"/>
  <c r="L342" i="2" s="1"/>
  <c r="I341" i="2"/>
  <c r="I340" i="2"/>
  <c r="J340" i="2" s="1"/>
  <c r="I339" i="2"/>
  <c r="L339" i="2" s="1"/>
  <c r="I338" i="2"/>
  <c r="L338" i="2" s="1"/>
  <c r="I337" i="2"/>
  <c r="L337" i="2" s="1"/>
  <c r="I336" i="2"/>
  <c r="I335" i="2"/>
  <c r="L335" i="2" s="1"/>
  <c r="I334" i="2"/>
  <c r="I331" i="2"/>
  <c r="L331" i="2" s="1"/>
  <c r="L394" i="2"/>
  <c r="L393" i="2"/>
  <c r="L390" i="2"/>
  <c r="L389" i="2"/>
  <c r="L382" i="2"/>
  <c r="L372" i="2"/>
  <c r="L370" i="2"/>
  <c r="L364" i="2"/>
  <c r="L361" i="2"/>
  <c r="L358" i="2"/>
  <c r="L355" i="2"/>
  <c r="L346" i="2"/>
  <c r="L345" i="2"/>
  <c r="L341" i="2"/>
  <c r="L336" i="2"/>
  <c r="L334" i="2"/>
  <c r="L333" i="2"/>
  <c r="L332" i="2"/>
  <c r="L396" i="2"/>
  <c r="L378" i="2"/>
  <c r="L374" i="2"/>
  <c r="L367" i="2"/>
  <c r="L354" i="2"/>
  <c r="L353" i="2"/>
  <c r="L350" i="2"/>
  <c r="L349" i="2"/>
  <c r="L340" i="2"/>
  <c r="I330" i="2"/>
  <c r="L330" i="2" s="1"/>
  <c r="I329" i="2"/>
  <c r="L329" i="2" s="1"/>
  <c r="I328" i="2"/>
  <c r="I327" i="2"/>
  <c r="I326" i="2"/>
  <c r="I325" i="2"/>
  <c r="I324" i="2"/>
  <c r="I322" i="2"/>
  <c r="I323" i="2"/>
  <c r="I320" i="2"/>
  <c r="I319" i="2"/>
  <c r="I315" i="2"/>
  <c r="I312" i="2"/>
  <c r="I311" i="2"/>
  <c r="I310" i="2"/>
  <c r="I309" i="2"/>
  <c r="I307" i="2"/>
  <c r="I305" i="2"/>
  <c r="I304" i="2"/>
  <c r="I303" i="2"/>
  <c r="I298" i="2"/>
  <c r="I297" i="2"/>
  <c r="I296" i="2"/>
  <c r="I295" i="2"/>
  <c r="I292" i="2"/>
  <c r="L278" i="2"/>
  <c r="I285" i="2"/>
  <c r="I281" i="2"/>
  <c r="I280" i="2"/>
  <c r="I277" i="2"/>
  <c r="I276" i="2"/>
  <c r="I272" i="2"/>
  <c r="I268" i="2"/>
  <c r="I263" i="2"/>
  <c r="I262" i="2"/>
  <c r="AC373" i="1" l="1"/>
  <c r="Z343" i="1" l="1"/>
  <c r="AC342" i="1"/>
  <c r="I261" i="2" l="1"/>
  <c r="L261" i="2" s="1"/>
  <c r="I260" i="2"/>
  <c r="L260" i="2" s="1"/>
  <c r="L259" i="2"/>
  <c r="I258" i="2"/>
  <c r="L258" i="2" s="1"/>
  <c r="I257" i="2"/>
  <c r="L257" i="2" s="1"/>
  <c r="I256" i="2"/>
  <c r="L256" i="2" s="1"/>
  <c r="I255" i="2"/>
  <c r="L255" i="2" s="1"/>
  <c r="L254" i="2"/>
  <c r="I253" i="2"/>
  <c r="L253" i="2" s="1"/>
  <c r="I252" i="2"/>
  <c r="I251" i="2"/>
  <c r="L251" i="2" s="1"/>
  <c r="I250" i="2"/>
  <c r="I249" i="2"/>
  <c r="L249" i="2" s="1"/>
  <c r="I248" i="2"/>
  <c r="I247" i="2"/>
  <c r="I246" i="2"/>
  <c r="L246" i="2" s="1"/>
  <c r="H245" i="2"/>
  <c r="I244" i="2"/>
  <c r="I243" i="2"/>
  <c r="I242" i="2"/>
  <c r="L242" i="2" s="1"/>
  <c r="I241" i="2"/>
  <c r="L241" i="2" s="1"/>
  <c r="I240" i="2"/>
  <c r="I239" i="2"/>
  <c r="I238" i="2"/>
  <c r="L238" i="2" s="1"/>
  <c r="I237" i="2"/>
  <c r="L237" i="2" s="1"/>
  <c r="I236" i="2"/>
  <c r="I235" i="2"/>
  <c r="L235" i="2" s="1"/>
  <c r="I234" i="2"/>
  <c r="L234" i="2" s="1"/>
  <c r="I233" i="2"/>
  <c r="L233" i="2" s="1"/>
  <c r="I231" i="2"/>
  <c r="L230" i="2"/>
  <c r="I229" i="2"/>
  <c r="L229" i="2" s="1"/>
  <c r="I228" i="2"/>
  <c r="L228" i="2" s="1"/>
  <c r="I227" i="2"/>
  <c r="I226" i="2"/>
  <c r="I225" i="2"/>
  <c r="L225" i="2" s="1"/>
  <c r="I224" i="2"/>
  <c r="L224" i="2" s="1"/>
  <c r="I223" i="2"/>
  <c r="I222" i="2"/>
  <c r="I221" i="2"/>
  <c r="L221" i="2" s="1"/>
  <c r="I220" i="2"/>
  <c r="L220" i="2" s="1"/>
  <c r="L219" i="2"/>
  <c r="I218" i="2"/>
  <c r="I217" i="2"/>
  <c r="I216" i="2"/>
  <c r="I215" i="2"/>
  <c r="L215" i="2" s="1"/>
  <c r="I214" i="2"/>
  <c r="L214" i="2" s="1"/>
  <c r="I213" i="2"/>
  <c r="L213" i="2" s="1"/>
  <c r="I212" i="2"/>
  <c r="L212" i="2" s="1"/>
  <c r="I211" i="2"/>
  <c r="I210" i="2"/>
  <c r="L210" i="2" s="1"/>
  <c r="I208" i="2"/>
  <c r="L208" i="2" s="1"/>
  <c r="I207" i="2"/>
  <c r="L207" i="2" s="1"/>
  <c r="I206" i="2"/>
  <c r="I178" i="2"/>
  <c r="L178" i="2" s="1"/>
  <c r="L159" i="2"/>
  <c r="I158" i="2"/>
  <c r="L158" i="2" s="1"/>
  <c r="L328" i="2"/>
  <c r="L327" i="2"/>
  <c r="L326" i="2"/>
  <c r="L324" i="2"/>
  <c r="L323" i="2"/>
  <c r="L322" i="2"/>
  <c r="L321" i="2"/>
  <c r="L320" i="2"/>
  <c r="L319" i="2"/>
  <c r="L318" i="2"/>
  <c r="L316" i="2"/>
  <c r="L315" i="2"/>
  <c r="L314" i="2"/>
  <c r="L311" i="2"/>
  <c r="L310" i="2"/>
  <c r="L309" i="2"/>
  <c r="L307" i="2"/>
  <c r="L305" i="2"/>
  <c r="L304" i="2"/>
  <c r="L303" i="2"/>
  <c r="L301" i="2"/>
  <c r="L299" i="2"/>
  <c r="L297" i="2"/>
  <c r="L296" i="2"/>
  <c r="L295" i="2"/>
  <c r="L293" i="2"/>
  <c r="L291" i="2"/>
  <c r="L290" i="2"/>
  <c r="L289" i="2"/>
  <c r="L288" i="2"/>
  <c r="L287" i="2"/>
  <c r="L286" i="2"/>
  <c r="L284" i="2"/>
  <c r="L280" i="2"/>
  <c r="L279" i="2"/>
  <c r="L277" i="2"/>
  <c r="L276" i="2"/>
  <c r="L275" i="2"/>
  <c r="L274" i="2"/>
  <c r="L273" i="2"/>
  <c r="L271" i="2"/>
  <c r="L269" i="2"/>
  <c r="L267" i="2"/>
  <c r="L265" i="2"/>
  <c r="L264" i="2"/>
  <c r="L252" i="2"/>
  <c r="L250" i="2"/>
  <c r="L248" i="2"/>
  <c r="L245" i="2"/>
  <c r="L240" i="2"/>
  <c r="L239" i="2"/>
  <c r="L232" i="2"/>
  <c r="L218" i="2"/>
  <c r="L217" i="2"/>
  <c r="L211" i="2"/>
  <c r="L209" i="2"/>
  <c r="L206" i="2"/>
  <c r="L325" i="2"/>
  <c r="L317" i="2"/>
  <c r="L313" i="2"/>
  <c r="L312" i="2"/>
  <c r="L308" i="2"/>
  <c r="L306" i="2"/>
  <c r="L302" i="2"/>
  <c r="L300" i="2"/>
  <c r="L298" i="2"/>
  <c r="L294" i="2"/>
  <c r="L292" i="2"/>
  <c r="L285" i="2"/>
  <c r="L283" i="2"/>
  <c r="L281" i="2"/>
  <c r="L272" i="2"/>
  <c r="L270" i="2"/>
  <c r="L268" i="2"/>
  <c r="L266" i="2"/>
  <c r="L263" i="2"/>
  <c r="L262" i="2"/>
  <c r="L247" i="2"/>
  <c r="L244" i="2"/>
  <c r="L243" i="2"/>
  <c r="L236" i="2"/>
  <c r="L231" i="2"/>
  <c r="L227" i="2"/>
  <c r="L226" i="2"/>
  <c r="L223" i="2"/>
  <c r="L222" i="2"/>
  <c r="L216" i="2"/>
  <c r="I155" i="2"/>
  <c r="L155" i="2" s="1"/>
  <c r="I205" i="2" l="1"/>
  <c r="L205" i="2" s="1"/>
  <c r="I204" i="2"/>
  <c r="L204" i="2" s="1"/>
  <c r="I203" i="2"/>
  <c r="L203" i="2" s="1"/>
  <c r="I202" i="2"/>
  <c r="L202" i="2" s="1"/>
  <c r="I201" i="2"/>
  <c r="L201" i="2" s="1"/>
  <c r="I200" i="2"/>
  <c r="L200" i="2" s="1"/>
  <c r="I199" i="2"/>
  <c r="L199" i="2" s="1"/>
  <c r="I198" i="2"/>
  <c r="L198" i="2" s="1"/>
  <c r="I197" i="2"/>
  <c r="L197" i="2" s="1"/>
  <c r="I196" i="2"/>
  <c r="L196" i="2" s="1"/>
  <c r="I195" i="2"/>
  <c r="L195" i="2" s="1"/>
  <c r="I194" i="2"/>
  <c r="L194" i="2" s="1"/>
  <c r="I193" i="2"/>
  <c r="L193" i="2" s="1"/>
  <c r="I192" i="2"/>
  <c r="L192" i="2" s="1"/>
  <c r="I191" i="2"/>
  <c r="L191" i="2" s="1"/>
  <c r="I190" i="2"/>
  <c r="L190" i="2" s="1"/>
  <c r="I189" i="2"/>
  <c r="L189" i="2" s="1"/>
  <c r="I188" i="2"/>
  <c r="L188" i="2" s="1"/>
  <c r="I187" i="2"/>
  <c r="L187" i="2" s="1"/>
  <c r="I186" i="2"/>
  <c r="L186" i="2" s="1"/>
  <c r="I185" i="2"/>
  <c r="L185" i="2" s="1"/>
  <c r="I184" i="2"/>
  <c r="L184" i="2" s="1"/>
  <c r="I183" i="2"/>
  <c r="L183" i="2" s="1"/>
  <c r="I182" i="2"/>
  <c r="L182" i="2" s="1"/>
  <c r="L181" i="2"/>
  <c r="I180" i="2"/>
  <c r="L180" i="2" s="1"/>
  <c r="I179" i="2"/>
  <c r="L179" i="2" s="1"/>
  <c r="I177" i="2"/>
  <c r="L177" i="2" s="1"/>
  <c r="I176" i="2"/>
  <c r="L176" i="2" s="1"/>
  <c r="I175" i="2"/>
  <c r="L175" i="2" s="1"/>
  <c r="I174" i="2"/>
  <c r="L174" i="2" s="1"/>
  <c r="I173" i="2"/>
  <c r="L173" i="2" s="1"/>
  <c r="I172" i="2"/>
  <c r="L172" i="2" s="1"/>
  <c r="I171" i="2"/>
  <c r="L171" i="2" s="1"/>
  <c r="I170" i="2"/>
  <c r="L170" i="2" s="1"/>
  <c r="I169" i="2"/>
  <c r="L169" i="2" s="1"/>
  <c r="I168" i="2"/>
  <c r="L168" i="2" s="1"/>
  <c r="I167" i="2"/>
  <c r="L167" i="2" s="1"/>
  <c r="I166" i="2"/>
  <c r="L166" i="2" s="1"/>
  <c r="I165" i="2"/>
  <c r="L165" i="2" s="1"/>
  <c r="I164" i="2"/>
  <c r="L164" i="2" s="1"/>
  <c r="I163" i="2"/>
  <c r="L163" i="2" s="1"/>
  <c r="I162" i="2"/>
  <c r="L162" i="2" s="1"/>
  <c r="I161" i="2"/>
  <c r="L161" i="2" s="1"/>
  <c r="I160" i="2"/>
  <c r="L160" i="2" s="1"/>
  <c r="I157" i="2"/>
  <c r="L157" i="2" s="1"/>
  <c r="I156" i="2"/>
  <c r="L156" i="2" s="1"/>
  <c r="I154" i="2"/>
  <c r="L154" i="2" s="1"/>
  <c r="Z175" i="1" l="1"/>
  <c r="Z170" i="1"/>
  <c r="M2" i="2"/>
  <c r="I66" i="2"/>
  <c r="I51" i="2"/>
  <c r="I153" i="2"/>
  <c r="L153" i="2" s="1"/>
  <c r="I152" i="2"/>
  <c r="L152" i="2" s="1"/>
  <c r="I151" i="2"/>
  <c r="L151" i="2" s="1"/>
  <c r="I150" i="2"/>
  <c r="L150" i="2" s="1"/>
  <c r="I149" i="2"/>
  <c r="I148" i="2"/>
  <c r="L148" i="2" s="1"/>
  <c r="I147" i="2"/>
  <c r="L147" i="2" s="1"/>
  <c r="I146" i="2"/>
  <c r="L146" i="2" s="1"/>
  <c r="I145" i="2"/>
  <c r="L145" i="2" s="1"/>
  <c r="I144" i="2"/>
  <c r="I143" i="2"/>
  <c r="L143" i="2" s="1"/>
  <c r="I142" i="2"/>
  <c r="L142" i="2" s="1"/>
  <c r="I141" i="2"/>
  <c r="L141" i="2" s="1"/>
  <c r="I140" i="2"/>
  <c r="L140" i="2" s="1"/>
  <c r="I139" i="2"/>
  <c r="L139" i="2" s="1"/>
  <c r="I138" i="2"/>
  <c r="L138" i="2" s="1"/>
  <c r="I137" i="2"/>
  <c r="L137" i="2" s="1"/>
  <c r="I136" i="2"/>
  <c r="L136" i="2" s="1"/>
  <c r="J135" i="2"/>
  <c r="I134" i="2"/>
  <c r="L134" i="2" s="1"/>
  <c r="I133" i="2"/>
  <c r="L133" i="2" s="1"/>
  <c r="I132" i="2"/>
  <c r="L132" i="2" s="1"/>
  <c r="I130" i="2"/>
  <c r="L130" i="2" s="1"/>
  <c r="I129" i="2"/>
  <c r="I128" i="2"/>
  <c r="I127" i="2"/>
  <c r="I126" i="2"/>
  <c r="L126" i="2" s="1"/>
  <c r="I125" i="2"/>
  <c r="I124" i="2"/>
  <c r="L124" i="2" s="1"/>
  <c r="I123" i="2"/>
  <c r="L123" i="2" s="1"/>
  <c r="I122" i="2"/>
  <c r="L122" i="2" s="1"/>
  <c r="I120" i="2"/>
  <c r="L120" i="2" s="1"/>
  <c r="I119" i="2"/>
  <c r="L119" i="2" s="1"/>
  <c r="I118" i="2"/>
  <c r="L118" i="2" s="1"/>
  <c r="L117" i="2"/>
  <c r="I116" i="2"/>
  <c r="L115" i="2"/>
  <c r="I114" i="2"/>
  <c r="L114" i="2" s="1"/>
  <c r="I113" i="2"/>
  <c r="L113" i="2" s="1"/>
  <c r="I112" i="2"/>
  <c r="I111" i="2"/>
  <c r="L110" i="2"/>
  <c r="I109" i="2"/>
  <c r="L109" i="2" s="1"/>
  <c r="I108" i="2"/>
  <c r="L108" i="2" s="1"/>
  <c r="I107" i="2"/>
  <c r="L107" i="2" s="1"/>
  <c r="I106" i="2"/>
  <c r="L106" i="2" s="1"/>
  <c r="I105" i="2"/>
  <c r="J105" i="2" s="1"/>
  <c r="L131" i="2"/>
  <c r="L129" i="2"/>
  <c r="L128" i="2"/>
  <c r="L127" i="2"/>
  <c r="L125" i="2"/>
  <c r="L111" i="2"/>
  <c r="L149" i="2"/>
  <c r="L144" i="2"/>
  <c r="L135" i="2"/>
  <c r="L121" i="2"/>
  <c r="L116" i="2"/>
  <c r="L112" i="2"/>
  <c r="I45" i="2"/>
  <c r="L105" i="2" l="1"/>
  <c r="I104" i="2"/>
  <c r="L104" i="2" s="1"/>
  <c r="I103" i="2"/>
  <c r="I102" i="2"/>
  <c r="I101" i="2"/>
  <c r="I100" i="2"/>
  <c r="I99" i="2"/>
  <c r="I97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L78" i="2"/>
  <c r="I76" i="2"/>
  <c r="I80" i="2"/>
  <c r="I79" i="2"/>
  <c r="I77" i="2"/>
  <c r="I75" i="2"/>
  <c r="I74" i="2"/>
  <c r="I73" i="2"/>
  <c r="I71" i="2"/>
  <c r="I70" i="2"/>
  <c r="I69" i="2"/>
  <c r="I68" i="2"/>
  <c r="I67" i="2"/>
  <c r="I65" i="2"/>
  <c r="I64" i="2"/>
  <c r="I63" i="2"/>
  <c r="I61" i="2" l="1"/>
  <c r="L61" i="2" s="1"/>
  <c r="I60" i="2"/>
  <c r="I59" i="2"/>
  <c r="L59" i="2" s="1"/>
  <c r="I58" i="2"/>
  <c r="J58" i="2" s="1"/>
  <c r="M58" i="2" s="1"/>
  <c r="I57" i="2"/>
  <c r="J57" i="2" s="1"/>
  <c r="M57" i="2" s="1"/>
  <c r="I56" i="2"/>
  <c r="L56" i="2" s="1"/>
  <c r="I55" i="2"/>
  <c r="I54" i="2"/>
  <c r="J54" i="2" s="1"/>
  <c r="M54" i="2" s="1"/>
  <c r="I53" i="2"/>
  <c r="J53" i="2" s="1"/>
  <c r="M53" i="2" s="1"/>
  <c r="I52" i="2"/>
  <c r="J52" i="2" s="1"/>
  <c r="M52" i="2" s="1"/>
  <c r="I50" i="2"/>
  <c r="L50" i="2" s="1"/>
  <c r="I49" i="2"/>
  <c r="J49" i="2" s="1"/>
  <c r="M49" i="2" s="1"/>
  <c r="I48" i="2"/>
  <c r="J48" i="2" s="1"/>
  <c r="M48" i="2" s="1"/>
  <c r="I47" i="2"/>
  <c r="J47" i="2" s="1"/>
  <c r="M47" i="2" s="1"/>
  <c r="I46" i="2"/>
  <c r="J46" i="2" s="1"/>
  <c r="M46" i="2" s="1"/>
  <c r="I44" i="2"/>
  <c r="L44" i="2" s="1"/>
  <c r="I43" i="2"/>
  <c r="L43" i="2" s="1"/>
  <c r="I42" i="2"/>
  <c r="I41" i="2"/>
  <c r="J41" i="2" s="1"/>
  <c r="M41" i="2" s="1"/>
  <c r="I40" i="2"/>
  <c r="J40" i="2" s="1"/>
  <c r="M40" i="2" s="1"/>
  <c r="I39" i="2"/>
  <c r="J39" i="2" s="1"/>
  <c r="M39" i="2" s="1"/>
  <c r="I38" i="2"/>
  <c r="J38" i="2" s="1"/>
  <c r="M38" i="2" s="1"/>
  <c r="I37" i="2"/>
  <c r="J36" i="2"/>
  <c r="M36" i="2" s="1"/>
  <c r="I35" i="2"/>
  <c r="J35" i="2" s="1"/>
  <c r="M35" i="2" s="1"/>
  <c r="I34" i="2"/>
  <c r="J34" i="2" s="1"/>
  <c r="M34" i="2" s="1"/>
  <c r="I33" i="2"/>
  <c r="L33" i="2" s="1"/>
  <c r="I32" i="2"/>
  <c r="L32" i="2" s="1"/>
  <c r="I31" i="2"/>
  <c r="J31" i="2" s="1"/>
  <c r="M31" i="2" s="1"/>
  <c r="I30" i="2"/>
  <c r="J30" i="2" s="1"/>
  <c r="M30" i="2" s="1"/>
  <c r="I29" i="2"/>
  <c r="J29" i="2" s="1"/>
  <c r="M29" i="2" s="1"/>
  <c r="I27" i="2"/>
  <c r="L27" i="2" s="1"/>
  <c r="I26" i="2"/>
  <c r="J26" i="2" s="1"/>
  <c r="M26" i="2" s="1"/>
  <c r="I25" i="2"/>
  <c r="J25" i="2" s="1"/>
  <c r="M25" i="2" s="1"/>
  <c r="I24" i="2"/>
  <c r="L11" i="2"/>
  <c r="I22" i="2"/>
  <c r="J22" i="2" s="1"/>
  <c r="M22" i="2" s="1"/>
  <c r="I21" i="2"/>
  <c r="J21" i="2" s="1"/>
  <c r="M21" i="2" s="1"/>
  <c r="I20" i="2"/>
  <c r="L20" i="2" s="1"/>
  <c r="I19" i="2"/>
  <c r="L19" i="2" s="1"/>
  <c r="I18" i="2"/>
  <c r="J18" i="2" s="1"/>
  <c r="M18" i="2" s="1"/>
  <c r="I17" i="2"/>
  <c r="J17" i="2" s="1"/>
  <c r="M17" i="2" s="1"/>
  <c r="I16" i="2"/>
  <c r="J16" i="2" s="1"/>
  <c r="M16" i="2" s="1"/>
  <c r="I15" i="2"/>
  <c r="I14" i="2"/>
  <c r="L14" i="2" s="1"/>
  <c r="I13" i="2"/>
  <c r="L13" i="2" s="1"/>
  <c r="I12" i="2"/>
  <c r="J12" i="2" s="1"/>
  <c r="M12" i="2" s="1"/>
  <c r="J3" i="2"/>
  <c r="M3" i="2" s="1"/>
  <c r="J14" i="2"/>
  <c r="M14" i="2" s="1"/>
  <c r="J23" i="2"/>
  <c r="M23" i="2" s="1"/>
  <c r="J24" i="2"/>
  <c r="M24" i="2" s="1"/>
  <c r="J27" i="2"/>
  <c r="M27" i="2" s="1"/>
  <c r="J28" i="2"/>
  <c r="M28" i="2" s="1"/>
  <c r="J33" i="2"/>
  <c r="M33" i="2" s="1"/>
  <c r="J37" i="2"/>
  <c r="M37" i="2" s="1"/>
  <c r="J45" i="2"/>
  <c r="M45" i="2" s="1"/>
  <c r="J50" i="2"/>
  <c r="M50" i="2" s="1"/>
  <c r="J51" i="2"/>
  <c r="M51" i="2" s="1"/>
  <c r="J55" i="2"/>
  <c r="M55" i="2" s="1"/>
  <c r="J62" i="2"/>
  <c r="M62" i="2" s="1"/>
  <c r="J63" i="2"/>
  <c r="M63" i="2" s="1"/>
  <c r="J64" i="2"/>
  <c r="M64" i="2" s="1"/>
  <c r="J65" i="2"/>
  <c r="M65" i="2" s="1"/>
  <c r="J66" i="2"/>
  <c r="M66" i="2" s="1"/>
  <c r="J67" i="2"/>
  <c r="M67" i="2" s="1"/>
  <c r="J68" i="2"/>
  <c r="M68" i="2" s="1"/>
  <c r="J69" i="2"/>
  <c r="M69" i="2" s="1"/>
  <c r="J70" i="2"/>
  <c r="M70" i="2" s="1"/>
  <c r="J71" i="2"/>
  <c r="M71" i="2" s="1"/>
  <c r="J72" i="2"/>
  <c r="M72" i="2" s="1"/>
  <c r="J73" i="2"/>
  <c r="M73" i="2" s="1"/>
  <c r="J74" i="2"/>
  <c r="M74" i="2" s="1"/>
  <c r="J75" i="2"/>
  <c r="M75" i="2" s="1"/>
  <c r="J76" i="2"/>
  <c r="M76" i="2" s="1"/>
  <c r="J77" i="2"/>
  <c r="M77" i="2" s="1"/>
  <c r="J78" i="2"/>
  <c r="M78" i="2" s="1"/>
  <c r="J79" i="2"/>
  <c r="M79" i="2" s="1"/>
  <c r="J80" i="2"/>
  <c r="M80" i="2" s="1"/>
  <c r="J81" i="2"/>
  <c r="M81" i="2" s="1"/>
  <c r="J82" i="2"/>
  <c r="M82" i="2" s="1"/>
  <c r="J83" i="2"/>
  <c r="M83" i="2" s="1"/>
  <c r="J84" i="2"/>
  <c r="M84" i="2" s="1"/>
  <c r="J85" i="2"/>
  <c r="M85" i="2" s="1"/>
  <c r="J86" i="2"/>
  <c r="M86" i="2" s="1"/>
  <c r="J87" i="2"/>
  <c r="M87" i="2" s="1"/>
  <c r="J88" i="2"/>
  <c r="M88" i="2" s="1"/>
  <c r="J89" i="2"/>
  <c r="M89" i="2" s="1"/>
  <c r="J90" i="2"/>
  <c r="M90" i="2" s="1"/>
  <c r="J91" i="2"/>
  <c r="M91" i="2" s="1"/>
  <c r="J92" i="2"/>
  <c r="M92" i="2" s="1"/>
  <c r="J93" i="2"/>
  <c r="M93" i="2" s="1"/>
  <c r="J94" i="2"/>
  <c r="M94" i="2" s="1"/>
  <c r="J95" i="2"/>
  <c r="M95" i="2" s="1"/>
  <c r="J96" i="2"/>
  <c r="M96" i="2" s="1"/>
  <c r="J97" i="2"/>
  <c r="M97" i="2" s="1"/>
  <c r="J98" i="2"/>
  <c r="M98" i="2" s="1"/>
  <c r="J99" i="2"/>
  <c r="M99" i="2" s="1"/>
  <c r="J100" i="2"/>
  <c r="M100" i="2" s="1"/>
  <c r="J101" i="2"/>
  <c r="M101" i="2" s="1"/>
  <c r="J102" i="2"/>
  <c r="M102" i="2" s="1"/>
  <c r="J103" i="2"/>
  <c r="M103" i="2" s="1"/>
  <c r="J104" i="2"/>
  <c r="M104" i="2" s="1"/>
  <c r="M105" i="2"/>
  <c r="J106" i="2"/>
  <c r="M106" i="2" s="1"/>
  <c r="J107" i="2"/>
  <c r="M107" i="2" s="1"/>
  <c r="J108" i="2"/>
  <c r="M108" i="2" s="1"/>
  <c r="J109" i="2"/>
  <c r="M109" i="2" s="1"/>
  <c r="J110" i="2"/>
  <c r="M110" i="2" s="1"/>
  <c r="J111" i="2"/>
  <c r="M111" i="2" s="1"/>
  <c r="J112" i="2"/>
  <c r="M112" i="2" s="1"/>
  <c r="J113" i="2"/>
  <c r="M113" i="2" s="1"/>
  <c r="J114" i="2"/>
  <c r="M114" i="2" s="1"/>
  <c r="J115" i="2"/>
  <c r="M115" i="2" s="1"/>
  <c r="J116" i="2"/>
  <c r="M116" i="2" s="1"/>
  <c r="J117" i="2"/>
  <c r="M117" i="2" s="1"/>
  <c r="J118" i="2"/>
  <c r="M118" i="2" s="1"/>
  <c r="J119" i="2"/>
  <c r="M119" i="2" s="1"/>
  <c r="J120" i="2"/>
  <c r="M120" i="2" s="1"/>
  <c r="J121" i="2"/>
  <c r="M121" i="2" s="1"/>
  <c r="J122" i="2"/>
  <c r="M122" i="2" s="1"/>
  <c r="J123" i="2"/>
  <c r="M123" i="2" s="1"/>
  <c r="J124" i="2"/>
  <c r="M124" i="2" s="1"/>
  <c r="J125" i="2"/>
  <c r="M125" i="2" s="1"/>
  <c r="J126" i="2"/>
  <c r="M126" i="2" s="1"/>
  <c r="J127" i="2"/>
  <c r="M127" i="2" s="1"/>
  <c r="J128" i="2"/>
  <c r="M128" i="2" s="1"/>
  <c r="J129" i="2"/>
  <c r="M129" i="2" s="1"/>
  <c r="J130" i="2"/>
  <c r="M130" i="2" s="1"/>
  <c r="J131" i="2"/>
  <c r="M131" i="2" s="1"/>
  <c r="J132" i="2"/>
  <c r="M132" i="2" s="1"/>
  <c r="J133" i="2"/>
  <c r="M133" i="2" s="1"/>
  <c r="J134" i="2"/>
  <c r="M134" i="2" s="1"/>
  <c r="M135" i="2"/>
  <c r="J136" i="2"/>
  <c r="M136" i="2" s="1"/>
  <c r="J137" i="2"/>
  <c r="M137" i="2" s="1"/>
  <c r="J138" i="2"/>
  <c r="M138" i="2" s="1"/>
  <c r="J139" i="2"/>
  <c r="M139" i="2" s="1"/>
  <c r="J140" i="2"/>
  <c r="M140" i="2" s="1"/>
  <c r="J141" i="2"/>
  <c r="M141" i="2" s="1"/>
  <c r="J142" i="2"/>
  <c r="M142" i="2" s="1"/>
  <c r="J143" i="2"/>
  <c r="M143" i="2" s="1"/>
  <c r="J144" i="2"/>
  <c r="M144" i="2" s="1"/>
  <c r="J145" i="2"/>
  <c r="M145" i="2" s="1"/>
  <c r="J146" i="2"/>
  <c r="M146" i="2" s="1"/>
  <c r="J147" i="2"/>
  <c r="M147" i="2" s="1"/>
  <c r="J148" i="2"/>
  <c r="M148" i="2" s="1"/>
  <c r="J149" i="2"/>
  <c r="M149" i="2" s="1"/>
  <c r="J150" i="2"/>
  <c r="M150" i="2" s="1"/>
  <c r="J151" i="2"/>
  <c r="M151" i="2" s="1"/>
  <c r="J152" i="2"/>
  <c r="M152" i="2" s="1"/>
  <c r="J153" i="2"/>
  <c r="M153" i="2" s="1"/>
  <c r="J154" i="2"/>
  <c r="M154" i="2" s="1"/>
  <c r="J155" i="2"/>
  <c r="M155" i="2" s="1"/>
  <c r="J156" i="2"/>
  <c r="M156" i="2" s="1"/>
  <c r="J157" i="2"/>
  <c r="M157" i="2" s="1"/>
  <c r="J158" i="2"/>
  <c r="M158" i="2" s="1"/>
  <c r="J159" i="2"/>
  <c r="M159" i="2" s="1"/>
  <c r="J160" i="2"/>
  <c r="M160" i="2" s="1"/>
  <c r="J161" i="2"/>
  <c r="M161" i="2" s="1"/>
  <c r="J162" i="2"/>
  <c r="M162" i="2" s="1"/>
  <c r="J163" i="2"/>
  <c r="M163" i="2" s="1"/>
  <c r="J164" i="2"/>
  <c r="M164" i="2" s="1"/>
  <c r="J165" i="2"/>
  <c r="M165" i="2" s="1"/>
  <c r="J166" i="2"/>
  <c r="M166" i="2" s="1"/>
  <c r="J167" i="2"/>
  <c r="M167" i="2" s="1"/>
  <c r="J168" i="2"/>
  <c r="M168" i="2" s="1"/>
  <c r="J169" i="2"/>
  <c r="M169" i="2" s="1"/>
  <c r="J170" i="2"/>
  <c r="M170" i="2" s="1"/>
  <c r="J171" i="2"/>
  <c r="M171" i="2" s="1"/>
  <c r="J172" i="2"/>
  <c r="M172" i="2" s="1"/>
  <c r="J173" i="2"/>
  <c r="M173" i="2" s="1"/>
  <c r="J174" i="2"/>
  <c r="M174" i="2" s="1"/>
  <c r="J175" i="2"/>
  <c r="M175" i="2" s="1"/>
  <c r="J176" i="2"/>
  <c r="M176" i="2" s="1"/>
  <c r="J177" i="2"/>
  <c r="M177" i="2" s="1"/>
  <c r="J178" i="2"/>
  <c r="M178" i="2" s="1"/>
  <c r="J179" i="2"/>
  <c r="M179" i="2" s="1"/>
  <c r="J180" i="2"/>
  <c r="M180" i="2" s="1"/>
  <c r="J181" i="2"/>
  <c r="M181" i="2" s="1"/>
  <c r="J182" i="2"/>
  <c r="M182" i="2" s="1"/>
  <c r="J183" i="2"/>
  <c r="M183" i="2" s="1"/>
  <c r="J184" i="2"/>
  <c r="M184" i="2" s="1"/>
  <c r="J185" i="2"/>
  <c r="M185" i="2" s="1"/>
  <c r="J186" i="2"/>
  <c r="M186" i="2" s="1"/>
  <c r="J187" i="2"/>
  <c r="M187" i="2" s="1"/>
  <c r="J188" i="2"/>
  <c r="M188" i="2" s="1"/>
  <c r="J189" i="2"/>
  <c r="M189" i="2" s="1"/>
  <c r="J190" i="2"/>
  <c r="M190" i="2" s="1"/>
  <c r="J191" i="2"/>
  <c r="M191" i="2" s="1"/>
  <c r="J192" i="2"/>
  <c r="M192" i="2" s="1"/>
  <c r="J193" i="2"/>
  <c r="M193" i="2" s="1"/>
  <c r="J194" i="2"/>
  <c r="M194" i="2" s="1"/>
  <c r="J195" i="2"/>
  <c r="M195" i="2" s="1"/>
  <c r="J196" i="2"/>
  <c r="M196" i="2" s="1"/>
  <c r="J197" i="2"/>
  <c r="M197" i="2" s="1"/>
  <c r="J198" i="2"/>
  <c r="M198" i="2" s="1"/>
  <c r="J199" i="2"/>
  <c r="M199" i="2" s="1"/>
  <c r="J200" i="2"/>
  <c r="M200" i="2" s="1"/>
  <c r="J201" i="2"/>
  <c r="M201" i="2" s="1"/>
  <c r="J202" i="2"/>
  <c r="M202" i="2" s="1"/>
  <c r="J203" i="2"/>
  <c r="M203" i="2" s="1"/>
  <c r="J204" i="2"/>
  <c r="M204" i="2" s="1"/>
  <c r="J205" i="2"/>
  <c r="M205" i="2" s="1"/>
  <c r="J206" i="2"/>
  <c r="M206" i="2" s="1"/>
  <c r="J207" i="2"/>
  <c r="M207" i="2" s="1"/>
  <c r="J208" i="2"/>
  <c r="M208" i="2" s="1"/>
  <c r="J209" i="2"/>
  <c r="M209" i="2" s="1"/>
  <c r="J210" i="2"/>
  <c r="M210" i="2" s="1"/>
  <c r="J211" i="2"/>
  <c r="M211" i="2" s="1"/>
  <c r="J212" i="2"/>
  <c r="M212" i="2" s="1"/>
  <c r="J213" i="2"/>
  <c r="M213" i="2" s="1"/>
  <c r="J214" i="2"/>
  <c r="M214" i="2" s="1"/>
  <c r="J215" i="2"/>
  <c r="M215" i="2" s="1"/>
  <c r="J216" i="2"/>
  <c r="M216" i="2" s="1"/>
  <c r="J217" i="2"/>
  <c r="M217" i="2" s="1"/>
  <c r="J218" i="2"/>
  <c r="M218" i="2" s="1"/>
  <c r="J219" i="2"/>
  <c r="M219" i="2" s="1"/>
  <c r="J220" i="2"/>
  <c r="M220" i="2" s="1"/>
  <c r="J221" i="2"/>
  <c r="M221" i="2" s="1"/>
  <c r="J222" i="2"/>
  <c r="M222" i="2" s="1"/>
  <c r="J223" i="2"/>
  <c r="M223" i="2" s="1"/>
  <c r="J224" i="2"/>
  <c r="M224" i="2" s="1"/>
  <c r="J225" i="2"/>
  <c r="M225" i="2" s="1"/>
  <c r="J226" i="2"/>
  <c r="M226" i="2" s="1"/>
  <c r="J227" i="2"/>
  <c r="M227" i="2" s="1"/>
  <c r="J228" i="2"/>
  <c r="M228" i="2" s="1"/>
  <c r="J229" i="2"/>
  <c r="M229" i="2" s="1"/>
  <c r="J230" i="2"/>
  <c r="M230" i="2" s="1"/>
  <c r="J231" i="2"/>
  <c r="M231" i="2" s="1"/>
  <c r="J232" i="2"/>
  <c r="M232" i="2" s="1"/>
  <c r="J233" i="2"/>
  <c r="M233" i="2" s="1"/>
  <c r="J234" i="2"/>
  <c r="M234" i="2" s="1"/>
  <c r="J235" i="2"/>
  <c r="M235" i="2" s="1"/>
  <c r="J236" i="2"/>
  <c r="M236" i="2" s="1"/>
  <c r="J237" i="2"/>
  <c r="M237" i="2" s="1"/>
  <c r="J238" i="2"/>
  <c r="M238" i="2" s="1"/>
  <c r="J239" i="2"/>
  <c r="M239" i="2" s="1"/>
  <c r="J240" i="2"/>
  <c r="M240" i="2" s="1"/>
  <c r="J241" i="2"/>
  <c r="M241" i="2" s="1"/>
  <c r="J242" i="2"/>
  <c r="M242" i="2" s="1"/>
  <c r="J243" i="2"/>
  <c r="M243" i="2" s="1"/>
  <c r="J244" i="2"/>
  <c r="M244" i="2" s="1"/>
  <c r="J245" i="2"/>
  <c r="M245" i="2" s="1"/>
  <c r="J246" i="2"/>
  <c r="M246" i="2" s="1"/>
  <c r="J247" i="2"/>
  <c r="M247" i="2" s="1"/>
  <c r="J248" i="2"/>
  <c r="M248" i="2" s="1"/>
  <c r="J249" i="2"/>
  <c r="M249" i="2" s="1"/>
  <c r="J250" i="2"/>
  <c r="M250" i="2" s="1"/>
  <c r="J251" i="2"/>
  <c r="M251" i="2" s="1"/>
  <c r="J252" i="2"/>
  <c r="M252" i="2" s="1"/>
  <c r="J253" i="2"/>
  <c r="M253" i="2" s="1"/>
  <c r="J254" i="2"/>
  <c r="M254" i="2" s="1"/>
  <c r="J255" i="2"/>
  <c r="M255" i="2" s="1"/>
  <c r="J256" i="2"/>
  <c r="M256" i="2" s="1"/>
  <c r="J257" i="2"/>
  <c r="M257" i="2" s="1"/>
  <c r="J258" i="2"/>
  <c r="M258" i="2" s="1"/>
  <c r="J259" i="2"/>
  <c r="M259" i="2" s="1"/>
  <c r="J260" i="2"/>
  <c r="M260" i="2" s="1"/>
  <c r="J261" i="2"/>
  <c r="M261" i="2" s="1"/>
  <c r="J262" i="2"/>
  <c r="M262" i="2" s="1"/>
  <c r="J263" i="2"/>
  <c r="M263" i="2" s="1"/>
  <c r="J264" i="2"/>
  <c r="M264" i="2" s="1"/>
  <c r="J265" i="2"/>
  <c r="M265" i="2" s="1"/>
  <c r="J266" i="2"/>
  <c r="M266" i="2" s="1"/>
  <c r="J267" i="2"/>
  <c r="M267" i="2" s="1"/>
  <c r="J268" i="2"/>
  <c r="M268" i="2" s="1"/>
  <c r="J269" i="2"/>
  <c r="M269" i="2" s="1"/>
  <c r="J270" i="2"/>
  <c r="M270" i="2" s="1"/>
  <c r="J271" i="2"/>
  <c r="M271" i="2" s="1"/>
  <c r="J272" i="2"/>
  <c r="M272" i="2" s="1"/>
  <c r="J273" i="2"/>
  <c r="M273" i="2" s="1"/>
  <c r="J274" i="2"/>
  <c r="M274" i="2" s="1"/>
  <c r="J275" i="2"/>
  <c r="M275" i="2" s="1"/>
  <c r="J276" i="2"/>
  <c r="M276" i="2" s="1"/>
  <c r="J277" i="2"/>
  <c r="M277" i="2" s="1"/>
  <c r="J278" i="2"/>
  <c r="M278" i="2" s="1"/>
  <c r="J279" i="2"/>
  <c r="M279" i="2" s="1"/>
  <c r="J280" i="2"/>
  <c r="M280" i="2" s="1"/>
  <c r="J281" i="2"/>
  <c r="M281" i="2" s="1"/>
  <c r="J282" i="2"/>
  <c r="M282" i="2" s="1"/>
  <c r="J283" i="2"/>
  <c r="M283" i="2" s="1"/>
  <c r="J284" i="2"/>
  <c r="M284" i="2" s="1"/>
  <c r="J285" i="2"/>
  <c r="M285" i="2" s="1"/>
  <c r="J286" i="2"/>
  <c r="M286" i="2" s="1"/>
  <c r="J287" i="2"/>
  <c r="M287" i="2" s="1"/>
  <c r="J288" i="2"/>
  <c r="M288" i="2" s="1"/>
  <c r="J289" i="2"/>
  <c r="M289" i="2" s="1"/>
  <c r="J290" i="2"/>
  <c r="M290" i="2" s="1"/>
  <c r="J291" i="2"/>
  <c r="M291" i="2" s="1"/>
  <c r="J292" i="2"/>
  <c r="M292" i="2" s="1"/>
  <c r="J293" i="2"/>
  <c r="M293" i="2" s="1"/>
  <c r="J294" i="2"/>
  <c r="M294" i="2" s="1"/>
  <c r="J295" i="2"/>
  <c r="M295" i="2" s="1"/>
  <c r="J296" i="2"/>
  <c r="M296" i="2" s="1"/>
  <c r="J297" i="2"/>
  <c r="M297" i="2" s="1"/>
  <c r="J298" i="2"/>
  <c r="M298" i="2" s="1"/>
  <c r="J299" i="2"/>
  <c r="M299" i="2" s="1"/>
  <c r="J300" i="2"/>
  <c r="M300" i="2" s="1"/>
  <c r="J301" i="2"/>
  <c r="M301" i="2" s="1"/>
  <c r="J302" i="2"/>
  <c r="M302" i="2" s="1"/>
  <c r="J303" i="2"/>
  <c r="M303" i="2" s="1"/>
  <c r="J304" i="2"/>
  <c r="M304" i="2" s="1"/>
  <c r="J305" i="2"/>
  <c r="M305" i="2" s="1"/>
  <c r="J306" i="2"/>
  <c r="M306" i="2" s="1"/>
  <c r="J307" i="2"/>
  <c r="M307" i="2" s="1"/>
  <c r="J308" i="2"/>
  <c r="M308" i="2" s="1"/>
  <c r="J309" i="2"/>
  <c r="M309" i="2" s="1"/>
  <c r="J310" i="2"/>
  <c r="M310" i="2" s="1"/>
  <c r="J311" i="2"/>
  <c r="M311" i="2" s="1"/>
  <c r="J312" i="2"/>
  <c r="M312" i="2" s="1"/>
  <c r="J313" i="2"/>
  <c r="M313" i="2" s="1"/>
  <c r="J314" i="2"/>
  <c r="M314" i="2" s="1"/>
  <c r="J315" i="2"/>
  <c r="M315" i="2" s="1"/>
  <c r="J316" i="2"/>
  <c r="M316" i="2" s="1"/>
  <c r="J317" i="2"/>
  <c r="M317" i="2" s="1"/>
  <c r="J318" i="2"/>
  <c r="M318" i="2" s="1"/>
  <c r="J319" i="2"/>
  <c r="M319" i="2" s="1"/>
  <c r="J320" i="2"/>
  <c r="M320" i="2" s="1"/>
  <c r="J321" i="2"/>
  <c r="M321" i="2" s="1"/>
  <c r="J322" i="2"/>
  <c r="M322" i="2" s="1"/>
  <c r="J323" i="2"/>
  <c r="M323" i="2" s="1"/>
  <c r="J324" i="2"/>
  <c r="M324" i="2" s="1"/>
  <c r="J325" i="2"/>
  <c r="M325" i="2" s="1"/>
  <c r="J326" i="2"/>
  <c r="M326" i="2" s="1"/>
  <c r="J327" i="2"/>
  <c r="M327" i="2" s="1"/>
  <c r="J328" i="2"/>
  <c r="M328" i="2" s="1"/>
  <c r="J329" i="2"/>
  <c r="M329" i="2" s="1"/>
  <c r="J330" i="2"/>
  <c r="M330" i="2" s="1"/>
  <c r="J331" i="2"/>
  <c r="M331" i="2" s="1"/>
  <c r="J332" i="2"/>
  <c r="M332" i="2" s="1"/>
  <c r="J333" i="2"/>
  <c r="M333" i="2" s="1"/>
  <c r="J334" i="2"/>
  <c r="M334" i="2" s="1"/>
  <c r="J335" i="2"/>
  <c r="M335" i="2" s="1"/>
  <c r="J336" i="2"/>
  <c r="M336" i="2" s="1"/>
  <c r="J337" i="2"/>
  <c r="M337" i="2" s="1"/>
  <c r="J338" i="2"/>
  <c r="M338" i="2" s="1"/>
  <c r="J339" i="2"/>
  <c r="M339" i="2" s="1"/>
  <c r="M340" i="2"/>
  <c r="J341" i="2"/>
  <c r="M341" i="2" s="1"/>
  <c r="J342" i="2"/>
  <c r="M342" i="2" s="1"/>
  <c r="J343" i="2"/>
  <c r="M343" i="2" s="1"/>
  <c r="J344" i="2"/>
  <c r="M344" i="2" s="1"/>
  <c r="J345" i="2"/>
  <c r="M345" i="2" s="1"/>
  <c r="J346" i="2"/>
  <c r="M346" i="2" s="1"/>
  <c r="J347" i="2"/>
  <c r="M347" i="2" s="1"/>
  <c r="J348" i="2"/>
  <c r="M348" i="2" s="1"/>
  <c r="J349" i="2"/>
  <c r="M349" i="2" s="1"/>
  <c r="J350" i="2"/>
  <c r="M350" i="2" s="1"/>
  <c r="J351" i="2"/>
  <c r="M351" i="2" s="1"/>
  <c r="J352" i="2"/>
  <c r="M352" i="2" s="1"/>
  <c r="J353" i="2"/>
  <c r="M353" i="2" s="1"/>
  <c r="J354" i="2"/>
  <c r="M354" i="2" s="1"/>
  <c r="J355" i="2"/>
  <c r="M355" i="2" s="1"/>
  <c r="J356" i="2"/>
  <c r="M356" i="2" s="1"/>
  <c r="J357" i="2"/>
  <c r="M357" i="2" s="1"/>
  <c r="J358" i="2"/>
  <c r="M358" i="2" s="1"/>
  <c r="J359" i="2"/>
  <c r="M359" i="2" s="1"/>
  <c r="J360" i="2"/>
  <c r="M360" i="2" s="1"/>
  <c r="J361" i="2"/>
  <c r="M361" i="2" s="1"/>
  <c r="J362" i="2"/>
  <c r="M362" i="2" s="1"/>
  <c r="J363" i="2"/>
  <c r="M363" i="2" s="1"/>
  <c r="J364" i="2"/>
  <c r="M364" i="2" s="1"/>
  <c r="J365" i="2"/>
  <c r="M365" i="2" s="1"/>
  <c r="J366" i="2"/>
  <c r="M366" i="2" s="1"/>
  <c r="J367" i="2"/>
  <c r="M367" i="2" s="1"/>
  <c r="J368" i="2"/>
  <c r="M368" i="2" s="1"/>
  <c r="J369" i="2"/>
  <c r="M369" i="2" s="1"/>
  <c r="J370" i="2"/>
  <c r="M370" i="2" s="1"/>
  <c r="J371" i="2"/>
  <c r="M371" i="2" s="1"/>
  <c r="J372" i="2"/>
  <c r="M372" i="2" s="1"/>
  <c r="J373" i="2"/>
  <c r="M373" i="2" s="1"/>
  <c r="J374" i="2"/>
  <c r="M374" i="2" s="1"/>
  <c r="J375" i="2"/>
  <c r="M375" i="2" s="1"/>
  <c r="J376" i="2"/>
  <c r="M376" i="2" s="1"/>
  <c r="J377" i="2"/>
  <c r="M377" i="2" s="1"/>
  <c r="J378" i="2"/>
  <c r="M378" i="2" s="1"/>
  <c r="J379" i="2"/>
  <c r="M379" i="2" s="1"/>
  <c r="J380" i="2"/>
  <c r="M380" i="2" s="1"/>
  <c r="J381" i="2"/>
  <c r="M381" i="2" s="1"/>
  <c r="J382" i="2"/>
  <c r="M382" i="2" s="1"/>
  <c r="J383" i="2"/>
  <c r="M383" i="2" s="1"/>
  <c r="J384" i="2"/>
  <c r="M384" i="2" s="1"/>
  <c r="J385" i="2"/>
  <c r="M385" i="2" s="1"/>
  <c r="J386" i="2"/>
  <c r="M386" i="2" s="1"/>
  <c r="J387" i="2"/>
  <c r="M387" i="2" s="1"/>
  <c r="J388" i="2"/>
  <c r="M388" i="2" s="1"/>
  <c r="J389" i="2"/>
  <c r="M389" i="2" s="1"/>
  <c r="J390" i="2"/>
  <c r="M390" i="2" s="1"/>
  <c r="J391" i="2"/>
  <c r="M391" i="2" s="1"/>
  <c r="J392" i="2"/>
  <c r="M392" i="2" s="1"/>
  <c r="J393" i="2"/>
  <c r="M393" i="2" s="1"/>
  <c r="J394" i="2"/>
  <c r="M394" i="2" s="1"/>
  <c r="J395" i="2"/>
  <c r="M395" i="2" s="1"/>
  <c r="J396" i="2"/>
  <c r="M396" i="2" s="1"/>
  <c r="I10" i="2"/>
  <c r="J10" i="2" s="1"/>
  <c r="M10" i="2" s="1"/>
  <c r="I9" i="2"/>
  <c r="J9" i="2" s="1"/>
  <c r="M9" i="2" s="1"/>
  <c r="I8" i="2"/>
  <c r="I7" i="2"/>
  <c r="L7" i="2" s="1"/>
  <c r="L103" i="2"/>
  <c r="L100" i="2"/>
  <c r="L99" i="2"/>
  <c r="L96" i="2"/>
  <c r="L95" i="2"/>
  <c r="L94" i="2"/>
  <c r="L91" i="2"/>
  <c r="L89" i="2"/>
  <c r="L88" i="2"/>
  <c r="L86" i="2"/>
  <c r="L85" i="2"/>
  <c r="L83" i="2"/>
  <c r="L82" i="2"/>
  <c r="L81" i="2"/>
  <c r="L80" i="2"/>
  <c r="L77" i="2"/>
  <c r="L75" i="2"/>
  <c r="L73" i="2"/>
  <c r="L72" i="2"/>
  <c r="L69" i="2"/>
  <c r="L68" i="2"/>
  <c r="L67" i="2"/>
  <c r="L66" i="2"/>
  <c r="L64" i="2"/>
  <c r="L62" i="2"/>
  <c r="L52" i="2"/>
  <c r="L45" i="2"/>
  <c r="L102" i="2"/>
  <c r="L101" i="2"/>
  <c r="L98" i="2"/>
  <c r="L97" i="2"/>
  <c r="L93" i="2"/>
  <c r="L92" i="2"/>
  <c r="L90" i="2"/>
  <c r="L87" i="2"/>
  <c r="L84" i="2"/>
  <c r="L79" i="2"/>
  <c r="L76" i="2"/>
  <c r="L74" i="2"/>
  <c r="L71" i="2"/>
  <c r="L70" i="2"/>
  <c r="L65" i="2"/>
  <c r="L63" i="2"/>
  <c r="L55" i="2"/>
  <c r="L51" i="2"/>
  <c r="L41" i="2"/>
  <c r="L37" i="2"/>
  <c r="L35" i="2"/>
  <c r="L28" i="2"/>
  <c r="L29" i="2"/>
  <c r="L17" i="2"/>
  <c r="L21" i="2"/>
  <c r="L23" i="2"/>
  <c r="L24" i="2"/>
  <c r="L25" i="2"/>
  <c r="I6" i="2"/>
  <c r="L6" i="2" s="1"/>
  <c r="I5" i="2"/>
  <c r="L5" i="2" s="1"/>
  <c r="I4" i="2"/>
  <c r="L4" i="2" s="1"/>
  <c r="L3" i="2"/>
  <c r="I2" i="2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8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39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5" i="3"/>
  <c r="A6" i="3"/>
  <c r="A7" i="3"/>
  <c r="A8" i="3"/>
  <c r="A4" i="3"/>
  <c r="A3" i="3"/>
  <c r="L18" i="2" l="1"/>
  <c r="L39" i="2"/>
  <c r="L57" i="2"/>
  <c r="L31" i="2"/>
  <c r="J43" i="2"/>
  <c r="M43" i="2" s="1"/>
  <c r="J32" i="2"/>
  <c r="M32" i="2" s="1"/>
  <c r="L10" i="2"/>
  <c r="L26" i="2"/>
  <c r="L2" i="2"/>
  <c r="J2" i="2"/>
  <c r="J13" i="2"/>
  <c r="M13" i="2" s="1"/>
  <c r="L16" i="2"/>
  <c r="L58" i="2"/>
  <c r="L12" i="2"/>
  <c r="L9" i="2"/>
  <c r="L34" i="2"/>
  <c r="J6" i="2"/>
  <c r="M6" i="2" s="1"/>
  <c r="L36" i="2"/>
  <c r="J44" i="2"/>
  <c r="M44" i="2" s="1"/>
  <c r="J5" i="2"/>
  <c r="M5" i="2" s="1"/>
  <c r="J7" i="2"/>
  <c r="M7" i="2" s="1"/>
  <c r="J15" i="2"/>
  <c r="M15" i="2" s="1"/>
  <c r="L15" i="2"/>
  <c r="J42" i="2"/>
  <c r="M42" i="2" s="1"/>
  <c r="L42" i="2"/>
  <c r="J60" i="2"/>
  <c r="M60" i="2" s="1"/>
  <c r="L60" i="2"/>
  <c r="L30" i="2"/>
  <c r="J8" i="2"/>
  <c r="M8" i="2" s="1"/>
  <c r="L8" i="2"/>
  <c r="L47" i="2"/>
  <c r="J56" i="2"/>
  <c r="M56" i="2" s="1"/>
  <c r="J19" i="2"/>
  <c r="M19" i="2" s="1"/>
  <c r="L48" i="2"/>
  <c r="L53" i="2"/>
  <c r="J61" i="2"/>
  <c r="M61" i="2" s="1"/>
  <c r="L49" i="2"/>
  <c r="J20" i="2"/>
  <c r="M20" i="2" s="1"/>
  <c r="J4" i="2"/>
  <c r="M4" i="2" s="1"/>
  <c r="J59" i="2"/>
  <c r="M59" i="2" s="1"/>
  <c r="L54" i="2"/>
  <c r="L46" i="2"/>
  <c r="L40" i="2"/>
  <c r="L38" i="2"/>
  <c r="J11" i="2"/>
  <c r="M11" i="2" s="1"/>
  <c r="L22" i="2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C219" i="1"/>
  <c r="AC220" i="1"/>
  <c r="AC221" i="1"/>
  <c r="AC222" i="1"/>
  <c r="AC223" i="1"/>
  <c r="AC224" i="1"/>
  <c r="AC225" i="1"/>
  <c r="AC226" i="1"/>
  <c r="AC227" i="1"/>
  <c r="AC228" i="1"/>
  <c r="AC229" i="1"/>
  <c r="AC230" i="1"/>
  <c r="AC231" i="1"/>
  <c r="AC232" i="1"/>
  <c r="AC233" i="1"/>
  <c r="AC234" i="1"/>
  <c r="AC235" i="1"/>
  <c r="AC236" i="1"/>
  <c r="AC237" i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53" i="1"/>
  <c r="AC254" i="1"/>
  <c r="AC255" i="1"/>
  <c r="AC256" i="1"/>
  <c r="AC257" i="1"/>
  <c r="AC258" i="1"/>
  <c r="AC259" i="1"/>
  <c r="AC260" i="1"/>
  <c r="AC261" i="1"/>
  <c r="AC262" i="1"/>
  <c r="AC263" i="1"/>
  <c r="AC264" i="1"/>
  <c r="AC265" i="1"/>
  <c r="AC266" i="1"/>
  <c r="AC267" i="1"/>
  <c r="AC268" i="1"/>
  <c r="AC269" i="1"/>
  <c r="AC270" i="1"/>
  <c r="AC271" i="1"/>
  <c r="AC272" i="1"/>
  <c r="AC273" i="1"/>
  <c r="AC274" i="1"/>
  <c r="AC275" i="1"/>
  <c r="AC276" i="1"/>
  <c r="AC277" i="1"/>
  <c r="AC278" i="1"/>
  <c r="AC279" i="1"/>
  <c r="AC280" i="1"/>
  <c r="AC281" i="1"/>
  <c r="AC282" i="1"/>
  <c r="AC283" i="1"/>
  <c r="AC284" i="1"/>
  <c r="AC285" i="1"/>
  <c r="AC286" i="1"/>
  <c r="AC287" i="1"/>
  <c r="AC288" i="1"/>
  <c r="AC289" i="1"/>
  <c r="AC290" i="1"/>
  <c r="AC291" i="1"/>
  <c r="AC292" i="1"/>
  <c r="AC293" i="1"/>
  <c r="AC294" i="1"/>
  <c r="AC295" i="1"/>
  <c r="AC296" i="1"/>
  <c r="AC297" i="1"/>
  <c r="AC298" i="1"/>
  <c r="AC299" i="1"/>
  <c r="AC300" i="1"/>
  <c r="AC301" i="1"/>
  <c r="AC302" i="1"/>
  <c r="AC303" i="1"/>
  <c r="AC304" i="1"/>
  <c r="AC305" i="1"/>
  <c r="AC306" i="1"/>
  <c r="AC307" i="1"/>
  <c r="AC308" i="1"/>
  <c r="AC309" i="1"/>
  <c r="AC310" i="1"/>
  <c r="AC311" i="1"/>
  <c r="AC312" i="1"/>
  <c r="AC313" i="1"/>
  <c r="AC314" i="1"/>
  <c r="AC315" i="1"/>
  <c r="AC316" i="1"/>
  <c r="AC317" i="1"/>
  <c r="AC318" i="1"/>
  <c r="AC319" i="1"/>
  <c r="AC320" i="1"/>
  <c r="AC321" i="1"/>
  <c r="AC322" i="1"/>
  <c r="AC323" i="1"/>
  <c r="AC324" i="1"/>
  <c r="AC325" i="1"/>
  <c r="AC326" i="1"/>
  <c r="AC327" i="1"/>
  <c r="AC328" i="1"/>
  <c r="AC329" i="1"/>
  <c r="AC330" i="1"/>
  <c r="AC331" i="1"/>
  <c r="AC332" i="1"/>
  <c r="AC333" i="1"/>
  <c r="AC334" i="1"/>
  <c r="AC335" i="1"/>
  <c r="AC336" i="1"/>
  <c r="AC337" i="1"/>
  <c r="AC338" i="1"/>
  <c r="AC339" i="1"/>
  <c r="AC340" i="1"/>
  <c r="AC341" i="1"/>
  <c r="AC343" i="1"/>
  <c r="AC344" i="1"/>
  <c r="AC345" i="1"/>
  <c r="AC346" i="1"/>
  <c r="AC347" i="1"/>
  <c r="AC348" i="1"/>
  <c r="AC349" i="1"/>
  <c r="AC350" i="1"/>
  <c r="AC351" i="1"/>
  <c r="AC352" i="1"/>
  <c r="AC353" i="1"/>
  <c r="AC354" i="1"/>
  <c r="AC355" i="1"/>
  <c r="AC356" i="1"/>
  <c r="AC357" i="1"/>
  <c r="AC358" i="1"/>
  <c r="AC359" i="1"/>
  <c r="AC360" i="1"/>
  <c r="AC361" i="1"/>
  <c r="AC362" i="1"/>
  <c r="AC363" i="1"/>
  <c r="AC364" i="1"/>
  <c r="AC365" i="1"/>
  <c r="AC366" i="1"/>
  <c r="AC367" i="1"/>
  <c r="AC368" i="1"/>
  <c r="AC369" i="1"/>
  <c r="AC370" i="1"/>
  <c r="AC371" i="1"/>
  <c r="AC372" i="1"/>
  <c r="AC374" i="1"/>
  <c r="AC375" i="1"/>
  <c r="AC376" i="1"/>
  <c r="AC377" i="1"/>
  <c r="AC378" i="1"/>
  <c r="AC379" i="1"/>
  <c r="AC380" i="1"/>
  <c r="AC381" i="1"/>
  <c r="AC382" i="1"/>
  <c r="AC383" i="1"/>
  <c r="AC384" i="1"/>
  <c r="AC385" i="1"/>
  <c r="AC386" i="1"/>
  <c r="AC387" i="1"/>
  <c r="AC388" i="1"/>
  <c r="AC389" i="1"/>
  <c r="AC390" i="1"/>
  <c r="AC391" i="1"/>
  <c r="AC392" i="1"/>
  <c r="AC393" i="1"/>
  <c r="AC394" i="1"/>
  <c r="AC395" i="1"/>
  <c r="AC396" i="1"/>
  <c r="AC397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1" i="1"/>
  <c r="Z172" i="1"/>
  <c r="Z173" i="1"/>
  <c r="Z174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300" i="1"/>
  <c r="Z301" i="1"/>
  <c r="Z302" i="1"/>
  <c r="Z303" i="1"/>
  <c r="Z304" i="1"/>
  <c r="Z305" i="1"/>
  <c r="Z306" i="1"/>
  <c r="Z307" i="1"/>
  <c r="Z308" i="1"/>
  <c r="Z309" i="1"/>
  <c r="Z310" i="1"/>
  <c r="Z311" i="1"/>
  <c r="Z312" i="1"/>
  <c r="Z313" i="1"/>
  <c r="Z314" i="1"/>
  <c r="Z315" i="1"/>
  <c r="Z316" i="1"/>
  <c r="Z317" i="1"/>
  <c r="Z318" i="1"/>
  <c r="Z319" i="1"/>
  <c r="Z320" i="1"/>
  <c r="Z321" i="1"/>
  <c r="Z322" i="1"/>
  <c r="Z323" i="1"/>
  <c r="Z324" i="1"/>
  <c r="Z325" i="1"/>
  <c r="Z326" i="1"/>
  <c r="Z327" i="1"/>
  <c r="Z328" i="1"/>
  <c r="Z329" i="1"/>
  <c r="Z330" i="1"/>
  <c r="Z331" i="1"/>
  <c r="Z332" i="1"/>
  <c r="Z333" i="1"/>
  <c r="Z334" i="1"/>
  <c r="Z335" i="1"/>
  <c r="Z336" i="1"/>
  <c r="Z337" i="1"/>
  <c r="Z338" i="1"/>
  <c r="Z339" i="1"/>
  <c r="Z340" i="1"/>
  <c r="Z341" i="1"/>
  <c r="Z342" i="1"/>
  <c r="Z344" i="1"/>
  <c r="Z345" i="1"/>
  <c r="Z346" i="1"/>
  <c r="Z347" i="1"/>
  <c r="Z348" i="1"/>
  <c r="Z349" i="1"/>
  <c r="Z350" i="1"/>
  <c r="Z351" i="1"/>
  <c r="Z352" i="1"/>
  <c r="Z353" i="1"/>
  <c r="Z354" i="1"/>
  <c r="Z355" i="1"/>
  <c r="Z356" i="1"/>
  <c r="Z357" i="1"/>
  <c r="Z358" i="1"/>
  <c r="Z359" i="1"/>
  <c r="Z360" i="1"/>
  <c r="Z361" i="1"/>
  <c r="Z362" i="1"/>
  <c r="Z363" i="1"/>
  <c r="Z364" i="1"/>
  <c r="Z365" i="1"/>
  <c r="Z366" i="1"/>
  <c r="Z367" i="1"/>
  <c r="Z368" i="1"/>
  <c r="Z369" i="1"/>
  <c r="Z370" i="1"/>
  <c r="Z371" i="1"/>
  <c r="Z372" i="1"/>
  <c r="Z373" i="1"/>
  <c r="Z374" i="1"/>
  <c r="Z375" i="1"/>
  <c r="Z376" i="1"/>
  <c r="Z377" i="1"/>
  <c r="Z378" i="1"/>
  <c r="Z379" i="1"/>
  <c r="Z380" i="1"/>
  <c r="Z381" i="1"/>
  <c r="Z382" i="1"/>
  <c r="Z383" i="1"/>
  <c r="Z384" i="1"/>
  <c r="Z385" i="1"/>
  <c r="Z386" i="1"/>
  <c r="Z387" i="1"/>
  <c r="Z388" i="1"/>
  <c r="Z389" i="1"/>
  <c r="Z390" i="1"/>
  <c r="Z391" i="1"/>
  <c r="Z392" i="1"/>
  <c r="Z393" i="1"/>
  <c r="Z394" i="1"/>
  <c r="Z395" i="1"/>
  <c r="Z396" i="1"/>
  <c r="Z397" i="1"/>
  <c r="Z3" i="1"/>
  <c r="AC4" i="1"/>
  <c r="AC5" i="1"/>
  <c r="AC6" i="1"/>
  <c r="AC3" i="1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" i="2"/>
  <c r="A4" i="2"/>
  <c r="A5" i="2"/>
  <c r="A6" i="2"/>
  <c r="A7" i="2"/>
  <c r="A8" i="2"/>
  <c r="A9" i="2"/>
  <c r="A10" i="2"/>
  <c r="A11" i="2"/>
  <c r="A12" i="2"/>
  <c r="A2" i="2"/>
</calcChain>
</file>

<file path=xl/sharedStrings.xml><?xml version="1.0" encoding="utf-8"?>
<sst xmlns="http://schemas.openxmlformats.org/spreadsheetml/2006/main" count="15078" uniqueCount="412">
  <si>
    <t>No.</t>
  </si>
  <si>
    <t>Age</t>
  </si>
  <si>
    <t>Sex</t>
  </si>
  <si>
    <t>Marital Status</t>
  </si>
  <si>
    <t>Education</t>
  </si>
  <si>
    <t>Employment</t>
  </si>
  <si>
    <t>YOD</t>
  </si>
  <si>
    <t>BMI</t>
  </si>
  <si>
    <t>HC</t>
  </si>
  <si>
    <t>WC</t>
  </si>
  <si>
    <t>WHR</t>
  </si>
  <si>
    <t>M</t>
  </si>
  <si>
    <t>A</t>
  </si>
  <si>
    <t>DOF (yrs)</t>
  </si>
  <si>
    <t>Yes</t>
  </si>
  <si>
    <t>HTN</t>
  </si>
  <si>
    <t>B</t>
  </si>
  <si>
    <t>A,B</t>
  </si>
  <si>
    <t>C</t>
  </si>
  <si>
    <t>No</t>
  </si>
  <si>
    <t>Weight (Kg)</t>
  </si>
  <si>
    <t>Mar.</t>
  </si>
  <si>
    <t>Pr.</t>
  </si>
  <si>
    <t>Rt.</t>
  </si>
  <si>
    <t>Height (m)</t>
  </si>
  <si>
    <t>For.</t>
  </si>
  <si>
    <t>&gt;1</t>
  </si>
  <si>
    <t>&gt;10</t>
  </si>
  <si>
    <t>&lt;100</t>
  </si>
  <si>
    <t>n/a</t>
  </si>
  <si>
    <t>0-5</t>
  </si>
  <si>
    <t>5-10</t>
  </si>
  <si>
    <t>F</t>
  </si>
  <si>
    <t>Never</t>
  </si>
  <si>
    <t>Tr.</t>
  </si>
  <si>
    <t>Si.</t>
  </si>
  <si>
    <t>Sec.</t>
  </si>
  <si>
    <t>None</t>
  </si>
  <si>
    <t>Self</t>
  </si>
  <si>
    <t>SUMMARY OF DATA COLLECTED FROM PATIENTS ATTENDING CLINIC AT THE NYERI PROVINCIAL HOSPITAL</t>
  </si>
  <si>
    <t>&gt;100</t>
  </si>
  <si>
    <t>Sister</t>
  </si>
  <si>
    <t>Wid.</t>
  </si>
  <si>
    <t>Unemp.</t>
  </si>
  <si>
    <t>Uncle &amp; Auntie</t>
  </si>
  <si>
    <t>G/pa</t>
  </si>
  <si>
    <t>bro/sis</t>
  </si>
  <si>
    <t>mum</t>
  </si>
  <si>
    <t>HTN/Mental</t>
  </si>
  <si>
    <t>Bro.</t>
  </si>
  <si>
    <t>Emp.</t>
  </si>
  <si>
    <t>Arthritis</t>
  </si>
  <si>
    <t>HIV</t>
  </si>
  <si>
    <t>Dad</t>
  </si>
  <si>
    <t>Sep.</t>
  </si>
  <si>
    <t>HTN/CVA</t>
  </si>
  <si>
    <t>B&amp;C</t>
  </si>
  <si>
    <t>&lt;1</t>
  </si>
  <si>
    <t>0 - 5</t>
  </si>
  <si>
    <t>Mum</t>
  </si>
  <si>
    <t>B, C</t>
  </si>
  <si>
    <t>5 - 10</t>
  </si>
  <si>
    <t xml:space="preserve">F </t>
  </si>
  <si>
    <t>Mum/Bro</t>
  </si>
  <si>
    <t>Uncle</t>
  </si>
  <si>
    <t>R/blind</t>
  </si>
  <si>
    <t>HTN/RA</t>
  </si>
  <si>
    <t>YES</t>
  </si>
  <si>
    <t xml:space="preserve">B </t>
  </si>
  <si>
    <t>eye</t>
  </si>
  <si>
    <t>2 Sons</t>
  </si>
  <si>
    <t>eye (cataract)</t>
  </si>
  <si>
    <t>CVA</t>
  </si>
  <si>
    <t>mum/bro/sis</t>
  </si>
  <si>
    <t>Goitre</t>
  </si>
  <si>
    <t>Bro</t>
  </si>
  <si>
    <t>Daughter</t>
  </si>
  <si>
    <t>TB/HIV</t>
  </si>
  <si>
    <t>Current</t>
  </si>
  <si>
    <t>Auntie</t>
  </si>
  <si>
    <t>emp.</t>
  </si>
  <si>
    <t>V/Veins</t>
  </si>
  <si>
    <t>Metformin</t>
  </si>
  <si>
    <t>Glibenclamide</t>
  </si>
  <si>
    <t>Pioglitazone</t>
  </si>
  <si>
    <t>Vitagliptin</t>
  </si>
  <si>
    <t>Insulin</t>
  </si>
  <si>
    <t>Ace-i</t>
  </si>
  <si>
    <t>ARB</t>
  </si>
  <si>
    <t>B-Blocker</t>
  </si>
  <si>
    <t>CCB</t>
  </si>
  <si>
    <t>HCTZ</t>
  </si>
  <si>
    <t>Lasix</t>
  </si>
  <si>
    <t>Hydralazine</t>
  </si>
  <si>
    <t>Methl Dopa</t>
  </si>
  <si>
    <t>Pain Killers</t>
  </si>
  <si>
    <t>Others</t>
  </si>
  <si>
    <t>√</t>
  </si>
  <si>
    <t>-</t>
  </si>
  <si>
    <t>Aldactone</t>
  </si>
  <si>
    <t>Diet</t>
  </si>
  <si>
    <t>RESEARCH TREATMENT MODES</t>
  </si>
  <si>
    <t>HbA1c</t>
  </si>
  <si>
    <t>Albiminuria</t>
  </si>
  <si>
    <t>HDL</t>
  </si>
  <si>
    <t>LDL</t>
  </si>
  <si>
    <t>TG</t>
  </si>
  <si>
    <t>T.Cholesterol</t>
  </si>
  <si>
    <t>Na+</t>
  </si>
  <si>
    <t>K+</t>
  </si>
  <si>
    <t>CL-</t>
  </si>
  <si>
    <t>Urea</t>
  </si>
  <si>
    <t>eGFR</t>
  </si>
  <si>
    <t>&gt;16%</t>
  </si>
  <si>
    <t>H</t>
  </si>
  <si>
    <t>AC Ratio</t>
  </si>
  <si>
    <t>Creatinine (mmol)</t>
  </si>
  <si>
    <t>Creatinine (mg)</t>
  </si>
  <si>
    <t>hTN</t>
  </si>
  <si>
    <t>Sons</t>
  </si>
  <si>
    <t>Mental</t>
  </si>
  <si>
    <t>Mum, Bro, Sis</t>
  </si>
  <si>
    <t>Bro, sis</t>
  </si>
  <si>
    <t>G/Ma.</t>
  </si>
  <si>
    <t>Dad, Sis</t>
  </si>
  <si>
    <t>Mum, Bro</t>
  </si>
  <si>
    <t>Son</t>
  </si>
  <si>
    <t>0  - 5</t>
  </si>
  <si>
    <t>Mum, Dad</t>
  </si>
  <si>
    <t>B,C</t>
  </si>
  <si>
    <t>Dad,Mum</t>
  </si>
  <si>
    <t>Grandma</t>
  </si>
  <si>
    <t>Sons,daughter</t>
  </si>
  <si>
    <t>Cousin</t>
  </si>
  <si>
    <t>HTN,ASTHMA</t>
  </si>
  <si>
    <t>Bro,Sis</t>
  </si>
  <si>
    <t>Grandpa</t>
  </si>
  <si>
    <t>Digoxin</t>
  </si>
  <si>
    <t>SONS,DAUGHTERS</t>
  </si>
  <si>
    <t>HTN/CANCER</t>
  </si>
  <si>
    <t>Mum/Sis</t>
  </si>
  <si>
    <t>Dad/Bro</t>
  </si>
  <si>
    <t>Asthma</t>
  </si>
  <si>
    <t>PUD</t>
  </si>
  <si>
    <t>Cancer</t>
  </si>
  <si>
    <t>BPH</t>
  </si>
  <si>
    <t>Athritis</t>
  </si>
  <si>
    <t>bro</t>
  </si>
  <si>
    <t>Bro/Dad</t>
  </si>
  <si>
    <t xml:space="preserve"> 5 - 10</t>
  </si>
  <si>
    <t>Dad/Mum</t>
  </si>
  <si>
    <t>Nephew</t>
  </si>
  <si>
    <t>m</t>
  </si>
  <si>
    <t xml:space="preserve">M </t>
  </si>
  <si>
    <t>Dad/Mum/Bro/Sis</t>
  </si>
  <si>
    <t xml:space="preserve"> No</t>
  </si>
  <si>
    <t>Auntie/Cousin</t>
  </si>
  <si>
    <t xml:space="preserve">0 - 5 </t>
  </si>
  <si>
    <t>BP</t>
  </si>
  <si>
    <t>PR</t>
  </si>
  <si>
    <t>RR</t>
  </si>
  <si>
    <t>TEMP</t>
  </si>
  <si>
    <t>RBS</t>
  </si>
  <si>
    <t>142/51</t>
  </si>
  <si>
    <t>120/80</t>
  </si>
  <si>
    <t>140/70</t>
  </si>
  <si>
    <t>136/91</t>
  </si>
  <si>
    <t>170/100</t>
  </si>
  <si>
    <t>150/80</t>
  </si>
  <si>
    <t>130/80</t>
  </si>
  <si>
    <t>130/95</t>
  </si>
  <si>
    <t>120/70</t>
  </si>
  <si>
    <t>130/90</t>
  </si>
  <si>
    <t>130/70</t>
  </si>
  <si>
    <t>170/90</t>
  </si>
  <si>
    <t>124/76</t>
  </si>
  <si>
    <t>160/80</t>
  </si>
  <si>
    <t>145/84</t>
  </si>
  <si>
    <t>140/90</t>
  </si>
  <si>
    <t>180/110</t>
  </si>
  <si>
    <t>162/83</t>
  </si>
  <si>
    <t>130/100</t>
  </si>
  <si>
    <t>190/110</t>
  </si>
  <si>
    <t>150/70</t>
  </si>
  <si>
    <t>150/90</t>
  </si>
  <si>
    <t>118/65</t>
  </si>
  <si>
    <t>140/100</t>
  </si>
  <si>
    <t>187/90</t>
  </si>
  <si>
    <t>110/70</t>
  </si>
  <si>
    <t>180/90</t>
  </si>
  <si>
    <t>160/90</t>
  </si>
  <si>
    <t>100/80</t>
  </si>
  <si>
    <t>131/87</t>
  </si>
  <si>
    <t>160/70</t>
  </si>
  <si>
    <t>122/70</t>
  </si>
  <si>
    <t>169/90</t>
  </si>
  <si>
    <t>165/76</t>
  </si>
  <si>
    <t>146/91</t>
  </si>
  <si>
    <t>162/80</t>
  </si>
  <si>
    <t>127/81</t>
  </si>
  <si>
    <t>108/73</t>
  </si>
  <si>
    <t>175/95</t>
  </si>
  <si>
    <t>146/64</t>
  </si>
  <si>
    <t>164/80</t>
  </si>
  <si>
    <t>180/80</t>
  </si>
  <si>
    <t>130/88</t>
  </si>
  <si>
    <t>169/85</t>
  </si>
  <si>
    <t>160/100</t>
  </si>
  <si>
    <t>200/99</t>
  </si>
  <si>
    <t>182/96</t>
  </si>
  <si>
    <t>165/96</t>
  </si>
  <si>
    <t>131/83</t>
  </si>
  <si>
    <t>124/86</t>
  </si>
  <si>
    <t>113/85</t>
  </si>
  <si>
    <t>140/80</t>
  </si>
  <si>
    <t>156/96</t>
  </si>
  <si>
    <t>219/90</t>
  </si>
  <si>
    <t>137/74</t>
  </si>
  <si>
    <t>167/93</t>
  </si>
  <si>
    <t>163/95</t>
  </si>
  <si>
    <t>129/72</t>
  </si>
  <si>
    <t>150/100</t>
  </si>
  <si>
    <t>173/84</t>
  </si>
  <si>
    <t>161/84</t>
  </si>
  <si>
    <t>131/92</t>
  </si>
  <si>
    <t>143/77</t>
  </si>
  <si>
    <t>213/95</t>
  </si>
  <si>
    <t>170/110</t>
  </si>
  <si>
    <t>200/90</t>
  </si>
  <si>
    <t>148/92</t>
  </si>
  <si>
    <t>184/127</t>
  </si>
  <si>
    <t>145/96</t>
  </si>
  <si>
    <t>127/70</t>
  </si>
  <si>
    <t>159/103</t>
  </si>
  <si>
    <t>196/64</t>
  </si>
  <si>
    <t>169/96</t>
  </si>
  <si>
    <t>161/98</t>
  </si>
  <si>
    <t>156/83</t>
  </si>
  <si>
    <t>179/88</t>
  </si>
  <si>
    <t>137/88</t>
  </si>
  <si>
    <t>112/73</t>
  </si>
  <si>
    <t>121/91</t>
  </si>
  <si>
    <t>139/74</t>
  </si>
  <si>
    <t>142/80</t>
  </si>
  <si>
    <t>135/70</t>
  </si>
  <si>
    <t>140/94</t>
  </si>
  <si>
    <t>117/88</t>
  </si>
  <si>
    <t>140/74</t>
  </si>
  <si>
    <t>156/73</t>
  </si>
  <si>
    <t>187/95</t>
  </si>
  <si>
    <t>128/84</t>
  </si>
  <si>
    <t>80/60</t>
  </si>
  <si>
    <t>202/96</t>
  </si>
  <si>
    <t>150/96</t>
  </si>
  <si>
    <t>157/96</t>
  </si>
  <si>
    <t>145/80</t>
  </si>
  <si>
    <t>144/64</t>
  </si>
  <si>
    <t>128/66</t>
  </si>
  <si>
    <t>101/76</t>
  </si>
  <si>
    <t>144/67</t>
  </si>
  <si>
    <t>126/92</t>
  </si>
  <si>
    <t>163/67</t>
  </si>
  <si>
    <t>161/86</t>
  </si>
  <si>
    <t>152/86</t>
  </si>
  <si>
    <t>151/90</t>
  </si>
  <si>
    <t>154/100</t>
  </si>
  <si>
    <t>158/97</t>
  </si>
  <si>
    <t>137/60</t>
  </si>
  <si>
    <t>130/77</t>
  </si>
  <si>
    <t>125/90</t>
  </si>
  <si>
    <t>166/103</t>
  </si>
  <si>
    <t>159/87</t>
  </si>
  <si>
    <t>142/84</t>
  </si>
  <si>
    <t>143/69</t>
  </si>
  <si>
    <t>165/70</t>
  </si>
  <si>
    <t>154/71</t>
  </si>
  <si>
    <t>189/90</t>
  </si>
  <si>
    <t>145/71</t>
  </si>
  <si>
    <t>185/100</t>
  </si>
  <si>
    <t>130/82</t>
  </si>
  <si>
    <t>130/78</t>
  </si>
  <si>
    <t>178/90</t>
  </si>
  <si>
    <t>134/70</t>
  </si>
  <si>
    <t>130/69</t>
  </si>
  <si>
    <t>176/78</t>
  </si>
  <si>
    <t>190/90</t>
  </si>
  <si>
    <t>128/76</t>
  </si>
  <si>
    <t>210/100</t>
  </si>
  <si>
    <t>121/76</t>
  </si>
  <si>
    <t>154/81</t>
  </si>
  <si>
    <t>190/70</t>
  </si>
  <si>
    <t>100/70</t>
  </si>
  <si>
    <t>185/85</t>
  </si>
  <si>
    <t>190/80</t>
  </si>
  <si>
    <t>175/96</t>
  </si>
  <si>
    <t>156/76</t>
  </si>
  <si>
    <t>183/97</t>
  </si>
  <si>
    <t>98/53</t>
  </si>
  <si>
    <t>189/105</t>
  </si>
  <si>
    <t>114/73</t>
  </si>
  <si>
    <t>153/84</t>
  </si>
  <si>
    <t>176/88</t>
  </si>
  <si>
    <t>91/60</t>
  </si>
  <si>
    <t>134/76</t>
  </si>
  <si>
    <t>92/54</t>
  </si>
  <si>
    <t>117/68</t>
  </si>
  <si>
    <t>136/88</t>
  </si>
  <si>
    <t>178/75</t>
  </si>
  <si>
    <t>148/89</t>
  </si>
  <si>
    <t>124/87</t>
  </si>
  <si>
    <t>128/70</t>
  </si>
  <si>
    <t>166/81</t>
  </si>
  <si>
    <t>160/64</t>
  </si>
  <si>
    <t>161/100</t>
  </si>
  <si>
    <t>95/61</t>
  </si>
  <si>
    <t>131/67</t>
  </si>
  <si>
    <t>130/86</t>
  </si>
  <si>
    <t>137/66</t>
  </si>
  <si>
    <t>137/81</t>
  </si>
  <si>
    <t>120/60</t>
  </si>
  <si>
    <t>170/89</t>
  </si>
  <si>
    <t>138/88</t>
  </si>
  <si>
    <t>131/78</t>
  </si>
  <si>
    <t>113/43</t>
  </si>
  <si>
    <t>130/76</t>
  </si>
  <si>
    <t>100/66</t>
  </si>
  <si>
    <t>168/82</t>
  </si>
  <si>
    <t>213/81</t>
  </si>
  <si>
    <t>121/75</t>
  </si>
  <si>
    <t>110/60</t>
  </si>
  <si>
    <t>153/88</t>
  </si>
  <si>
    <t>111/61</t>
  </si>
  <si>
    <t>161/81</t>
  </si>
  <si>
    <t>142/82</t>
  </si>
  <si>
    <t>125/70</t>
  </si>
  <si>
    <t>131/80</t>
  </si>
  <si>
    <t>163/96</t>
  </si>
  <si>
    <t>128/90</t>
  </si>
  <si>
    <t>118/70</t>
  </si>
  <si>
    <t>164/65</t>
  </si>
  <si>
    <t>161/74</t>
  </si>
  <si>
    <t>110/80</t>
  </si>
  <si>
    <t>Dad/Bro/Sis</t>
  </si>
  <si>
    <t>120/81</t>
  </si>
  <si>
    <t>146/62</t>
  </si>
  <si>
    <t>149/86</t>
  </si>
  <si>
    <t>195/95</t>
  </si>
  <si>
    <t>120/65</t>
  </si>
  <si>
    <t>Dad/Sis</t>
  </si>
  <si>
    <t>126/85</t>
  </si>
  <si>
    <t>yes</t>
  </si>
  <si>
    <t>144/80</t>
  </si>
  <si>
    <t>HTN/osteoarthritis</t>
  </si>
  <si>
    <t>143/83</t>
  </si>
  <si>
    <t>158/81</t>
  </si>
  <si>
    <t>130/75</t>
  </si>
  <si>
    <t>173/67</t>
  </si>
  <si>
    <t>141/65</t>
  </si>
  <si>
    <t>150/102</t>
  </si>
  <si>
    <t>138/90</t>
  </si>
  <si>
    <t>HTN/athritis</t>
  </si>
  <si>
    <t>170/88</t>
  </si>
  <si>
    <t>115/64</t>
  </si>
  <si>
    <t>122/68</t>
  </si>
  <si>
    <t>107/72</t>
  </si>
  <si>
    <t>151/74</t>
  </si>
  <si>
    <t>124/77</t>
  </si>
  <si>
    <t>141/83</t>
  </si>
  <si>
    <t>142/72</t>
  </si>
  <si>
    <t>Mum/Sister</t>
  </si>
  <si>
    <t>175/82</t>
  </si>
  <si>
    <t>131/85</t>
  </si>
  <si>
    <t>195/87</t>
  </si>
  <si>
    <t>108/70</t>
  </si>
  <si>
    <t>107/64</t>
  </si>
  <si>
    <t>cormorbidity</t>
  </si>
  <si>
    <t>comorbid type</t>
  </si>
  <si>
    <t>clinic frequency</t>
  </si>
  <si>
    <t>DM Rx</t>
  </si>
  <si>
    <t>Other  meds</t>
  </si>
  <si>
    <t>Smoking Hx</t>
  </si>
  <si>
    <t>Smoking Duration</t>
  </si>
  <si>
    <t>No.of sticks/lifetime</t>
  </si>
  <si>
    <t>Alcohol Hx</t>
  </si>
  <si>
    <t>alcohol duration</t>
  </si>
  <si>
    <t>Alcohol Amount</t>
  </si>
  <si>
    <t>FHx of DM</t>
  </si>
  <si>
    <t>Relative</t>
  </si>
  <si>
    <t>Hx of HTN</t>
  </si>
  <si>
    <t>182/94</t>
  </si>
  <si>
    <t>200/100</t>
  </si>
  <si>
    <t>125/81</t>
  </si>
  <si>
    <t>141/87</t>
  </si>
  <si>
    <t>139/88</t>
  </si>
  <si>
    <t>120/75</t>
  </si>
  <si>
    <t>180/100</t>
  </si>
  <si>
    <t>113/64</t>
  </si>
  <si>
    <t>145/98</t>
  </si>
  <si>
    <t>159/74</t>
  </si>
  <si>
    <t>108/53</t>
  </si>
  <si>
    <t>143/67</t>
  </si>
  <si>
    <t>138/76</t>
  </si>
  <si>
    <t>145/90</t>
  </si>
  <si>
    <t>163/72</t>
  </si>
  <si>
    <t>127/79</t>
  </si>
  <si>
    <t>5,2%</t>
  </si>
  <si>
    <t>1,8</t>
  </si>
  <si>
    <t>&gt;16</t>
  </si>
  <si>
    <t>135/90</t>
  </si>
  <si>
    <t>180/98</t>
  </si>
  <si>
    <t>A.B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</si>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</sst>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sz val="11"/>
      <color theme="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justify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1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6" fillId="5" borderId="0" xfId="0" applyFont="1" applyFill="1" applyAlignment="1">
      <alignment horizontal="center"/>
    </xf>
    <xf numFmtId="0" fontId="0" fillId="5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165" fontId="0" fillId="4" borderId="0" xfId="0" applyNumberFormat="1" applyFill="1" applyAlignment="1">
      <alignment horizontal="center"/>
    </xf>
    <xf numFmtId="0" fontId="0" fillId="4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97"/>
  <sheetViews>
    <sheetView tabSelected="1" workbookViewId="0">
      <pane xSplit="1" ySplit="2" topLeftCell="G3" activePane="bottomRight" state="frozen"/>
      <selection pane="topRight" activeCell="B1" sqref="B1"/>
      <selection pane="bottomLeft" activeCell="A3" sqref="A3"/>
      <selection pane="bottomRight" sqref="A1:AC1"/>
    </sheetView>
  </sheetViews>
  <sheetFormatPr defaultRowHeight="15" x14ac:dyDescent="0.25"/>
  <cols>
    <col min="1" max="1" width="4.7109375" customWidth="1"/>
    <col min="2" max="2" width="5.42578125" style="1" customWidth="1"/>
    <col min="3" max="3" width="5.140625" style="1" customWidth="1"/>
    <col min="4" max="4" width="7.140625" style="1" customWidth="1"/>
    <col min="5" max="5" width="9.5703125" style="1" customWidth="1"/>
    <col min="6" max="7" width="9.140625" style="1"/>
    <col min="8" max="8" width="7.5703125" style="1" customWidth="1"/>
    <col min="9" max="9" width="6.85546875" style="1" customWidth="1"/>
    <col min="10" max="10" width="7.28515625" style="1" customWidth="1"/>
    <col min="11" max="11" width="8.7109375" style="1" customWidth="1"/>
    <col min="12" max="12" width="7.42578125" style="1" customWidth="1"/>
    <col min="13" max="13" width="7.140625" style="1" customWidth="1"/>
    <col min="14" max="14" width="7.7109375" style="1" customWidth="1"/>
    <col min="15" max="16" width="6.7109375" style="1" customWidth="1"/>
    <col min="17" max="17" width="5.42578125" style="1" customWidth="1"/>
    <col min="18" max="18" width="6.140625" style="1" customWidth="1"/>
    <col min="19" max="19" width="6.7109375" style="1" customWidth="1"/>
    <col min="20" max="20" width="7.42578125" style="1" customWidth="1"/>
    <col min="21" max="21" width="6.85546875" style="1" customWidth="1"/>
    <col min="22" max="22" width="7.5703125" style="1" customWidth="1"/>
    <col min="23" max="23" width="7.7109375" style="1" customWidth="1"/>
    <col min="24" max="25" width="6.5703125" style="1" customWidth="1"/>
    <col min="26" max="26" width="7.42578125" style="1" customWidth="1"/>
    <col min="27" max="27" width="7.140625" style="1" customWidth="1"/>
    <col min="28" max="28" width="7" style="1" customWidth="1"/>
    <col min="29" max="29" width="8" style="1" customWidth="1"/>
  </cols>
  <sheetData>
    <row r="1" spans="1:34" x14ac:dyDescent="0.25">
      <c r="A1" s="64" t="s">
        <v>39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</row>
    <row r="2" spans="1:34" ht="30.75" customHeight="1" x14ac:dyDescent="0.25">
      <c r="A2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13</v>
      </c>
      <c r="I2" s="52" t="s">
        <v>377</v>
      </c>
      <c r="J2" s="52" t="s">
        <v>375</v>
      </c>
      <c r="K2" s="52" t="s">
        <v>376</v>
      </c>
      <c r="L2" s="52" t="s">
        <v>378</v>
      </c>
      <c r="M2" s="52" t="s">
        <v>379</v>
      </c>
      <c r="N2" s="52" t="s">
        <v>380</v>
      </c>
      <c r="O2" s="52" t="s">
        <v>381</v>
      </c>
      <c r="P2" s="52" t="s">
        <v>382</v>
      </c>
      <c r="Q2" s="52" t="s">
        <v>383</v>
      </c>
      <c r="R2" s="52" t="s">
        <v>384</v>
      </c>
      <c r="S2" s="52" t="s">
        <v>385</v>
      </c>
      <c r="T2" s="52" t="s">
        <v>386</v>
      </c>
      <c r="U2" s="52" t="s">
        <v>387</v>
      </c>
      <c r="V2" s="52" t="s">
        <v>388</v>
      </c>
      <c r="W2" s="52" t="s">
        <v>387</v>
      </c>
      <c r="X2" s="1" t="s">
        <v>24</v>
      </c>
      <c r="Y2" s="1" t="s">
        <v>20</v>
      </c>
      <c r="Z2" s="1" t="s">
        <v>7</v>
      </c>
      <c r="AA2" s="1" t="s">
        <v>8</v>
      </c>
      <c r="AB2" s="1" t="s">
        <v>9</v>
      </c>
      <c r="AC2" s="1" t="s">
        <v>10</v>
      </c>
      <c r="AD2" s="34" t="s">
        <v>158</v>
      </c>
      <c r="AE2" s="34" t="s">
        <v>159</v>
      </c>
      <c r="AF2" s="34" t="s">
        <v>160</v>
      </c>
      <c r="AG2" s="34" t="s">
        <v>161</v>
      </c>
      <c r="AH2" s="34" t="s">
        <v>162</v>
      </c>
    </row>
    <row r="3" spans="1:34" x14ac:dyDescent="0.25">
      <c r="A3" s="1">
        <v>1</v>
      </c>
      <c r="B3" s="1">
        <v>63</v>
      </c>
      <c r="C3" s="1" t="s">
        <v>11</v>
      </c>
      <c r="D3" s="1" t="s">
        <v>21</v>
      </c>
      <c r="E3" s="1" t="s">
        <v>22</v>
      </c>
      <c r="F3" s="1" t="s">
        <v>23</v>
      </c>
      <c r="G3" s="1">
        <v>2004</v>
      </c>
      <c r="H3" s="1">
        <v>11</v>
      </c>
      <c r="I3" s="1">
        <v>4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25</v>
      </c>
      <c r="O3" s="1" t="s">
        <v>26</v>
      </c>
      <c r="P3" s="1" t="s">
        <v>28</v>
      </c>
      <c r="Q3" s="1" t="s">
        <v>19</v>
      </c>
      <c r="R3" s="1" t="s">
        <v>29</v>
      </c>
      <c r="S3" s="1" t="s">
        <v>29</v>
      </c>
      <c r="T3" s="1" t="s">
        <v>19</v>
      </c>
      <c r="U3" s="1" t="s">
        <v>29</v>
      </c>
      <c r="V3" s="1" t="s">
        <v>19</v>
      </c>
      <c r="W3" s="1" t="s">
        <v>29</v>
      </c>
      <c r="X3" s="1">
        <v>1.85</v>
      </c>
      <c r="Y3" s="1">
        <v>90</v>
      </c>
      <c r="Z3" s="3">
        <f>(Y3/(X3)^2)</f>
        <v>26.296566837107374</v>
      </c>
      <c r="AA3" s="1">
        <v>40</v>
      </c>
      <c r="AB3" s="1">
        <v>44</v>
      </c>
      <c r="AC3" s="3">
        <f>AB3/AA3</f>
        <v>1.1000000000000001</v>
      </c>
      <c r="AD3" t="s">
        <v>190</v>
      </c>
      <c r="AE3">
        <v>80</v>
      </c>
      <c r="AF3">
        <v>16</v>
      </c>
      <c r="AG3">
        <v>37</v>
      </c>
    </row>
    <row r="4" spans="1:34" x14ac:dyDescent="0.25">
      <c r="A4" s="1">
        <v>2</v>
      </c>
      <c r="B4" s="1">
        <v>64</v>
      </c>
      <c r="C4" s="1" t="s">
        <v>11</v>
      </c>
      <c r="D4" s="1" t="s">
        <v>21</v>
      </c>
      <c r="E4" s="1" t="s">
        <v>22</v>
      </c>
      <c r="F4" s="1" t="s">
        <v>23</v>
      </c>
      <c r="G4" s="1">
        <v>2011</v>
      </c>
      <c r="H4" s="1">
        <v>4</v>
      </c>
      <c r="I4" s="1">
        <v>4</v>
      </c>
      <c r="J4" s="1" t="s">
        <v>14</v>
      </c>
      <c r="K4" s="1" t="s">
        <v>15</v>
      </c>
      <c r="L4" s="55" t="s">
        <v>16</v>
      </c>
      <c r="M4" s="1" t="s">
        <v>17</v>
      </c>
      <c r="N4" s="1" t="s">
        <v>25</v>
      </c>
      <c r="O4" s="1" t="s">
        <v>26</v>
      </c>
      <c r="P4" s="1" t="s">
        <v>28</v>
      </c>
      <c r="Q4" s="1" t="s">
        <v>14</v>
      </c>
      <c r="R4" s="1" t="s">
        <v>27</v>
      </c>
      <c r="S4" s="1" t="s">
        <v>30</v>
      </c>
      <c r="T4" s="1" t="s">
        <v>19</v>
      </c>
      <c r="U4" s="1" t="s">
        <v>29</v>
      </c>
      <c r="V4" s="1" t="s">
        <v>19</v>
      </c>
      <c r="W4" s="1" t="s">
        <v>29</v>
      </c>
      <c r="X4" s="1">
        <v>1.65</v>
      </c>
      <c r="Y4" s="1">
        <v>71</v>
      </c>
      <c r="Z4" s="3">
        <f t="shared" ref="Z4:Z67" si="0">(Y4/(X4)^2)</f>
        <v>26.078971533516992</v>
      </c>
      <c r="AA4" s="1">
        <v>38</v>
      </c>
      <c r="AB4" s="1">
        <v>40</v>
      </c>
      <c r="AC4" s="3">
        <f>AB4/AA4</f>
        <v>1.0526315789473684</v>
      </c>
      <c r="AD4" t="s">
        <v>188</v>
      </c>
      <c r="AE4">
        <v>80</v>
      </c>
      <c r="AF4">
        <v>14</v>
      </c>
      <c r="AG4">
        <v>36.4</v>
      </c>
    </row>
    <row r="5" spans="1:34" x14ac:dyDescent="0.25">
      <c r="A5" s="1">
        <v>3</v>
      </c>
      <c r="B5" s="1">
        <v>80</v>
      </c>
      <c r="C5" s="1" t="s">
        <v>11</v>
      </c>
      <c r="D5" s="1" t="s">
        <v>21</v>
      </c>
      <c r="E5" s="1" t="s">
        <v>22</v>
      </c>
      <c r="F5" s="1" t="s">
        <v>23</v>
      </c>
      <c r="G5" s="1">
        <v>1983</v>
      </c>
      <c r="H5" s="1">
        <v>31</v>
      </c>
      <c r="I5" s="1">
        <v>4</v>
      </c>
      <c r="J5" s="1" t="s">
        <v>14</v>
      </c>
      <c r="K5" s="1" t="s">
        <v>15</v>
      </c>
      <c r="L5" s="1" t="s">
        <v>16</v>
      </c>
      <c r="M5" s="1" t="s">
        <v>17</v>
      </c>
      <c r="N5" s="1" t="s">
        <v>25</v>
      </c>
      <c r="O5" s="1" t="s">
        <v>26</v>
      </c>
      <c r="P5" s="1" t="s">
        <v>28</v>
      </c>
      <c r="Q5" s="1" t="s">
        <v>14</v>
      </c>
      <c r="R5" s="1" t="s">
        <v>27</v>
      </c>
      <c r="S5" s="4" t="s">
        <v>31</v>
      </c>
      <c r="T5" s="1" t="s">
        <v>19</v>
      </c>
      <c r="U5" s="1" t="s">
        <v>29</v>
      </c>
      <c r="V5" s="1" t="s">
        <v>19</v>
      </c>
      <c r="W5" s="1" t="s">
        <v>29</v>
      </c>
      <c r="X5" s="1">
        <v>1.67</v>
      </c>
      <c r="Y5" s="1">
        <v>70</v>
      </c>
      <c r="Z5" s="3">
        <f t="shared" si="0"/>
        <v>25.099501595611173</v>
      </c>
      <c r="AA5" s="1">
        <v>39</v>
      </c>
      <c r="AB5" s="1">
        <v>43</v>
      </c>
      <c r="AC5" s="3">
        <f t="shared" ref="AC5:AC68" si="1">AB5/AA5</f>
        <v>1.1025641025641026</v>
      </c>
      <c r="AD5" t="s">
        <v>389</v>
      </c>
      <c r="AE5">
        <v>94</v>
      </c>
      <c r="AF5">
        <v>18</v>
      </c>
      <c r="AG5">
        <v>36.9</v>
      </c>
      <c r="AH5">
        <v>11.9</v>
      </c>
    </row>
    <row r="6" spans="1:34" x14ac:dyDescent="0.25">
      <c r="A6" s="1">
        <v>4</v>
      </c>
      <c r="B6" s="1">
        <v>43</v>
      </c>
      <c r="C6" s="1" t="s">
        <v>32</v>
      </c>
      <c r="D6" s="1" t="s">
        <v>21</v>
      </c>
      <c r="E6" s="1" t="s">
        <v>22</v>
      </c>
      <c r="F6" s="1" t="s">
        <v>23</v>
      </c>
      <c r="G6" s="1">
        <v>2013</v>
      </c>
      <c r="H6" s="1">
        <v>1</v>
      </c>
      <c r="I6" s="1">
        <v>3</v>
      </c>
      <c r="J6" s="1" t="s">
        <v>19</v>
      </c>
      <c r="K6" s="53" t="s">
        <v>29</v>
      </c>
      <c r="L6" s="1" t="s">
        <v>16</v>
      </c>
      <c r="M6" s="1" t="s">
        <v>17</v>
      </c>
      <c r="N6" s="1" t="s">
        <v>33</v>
      </c>
      <c r="O6" s="1" t="s">
        <v>29</v>
      </c>
      <c r="P6" s="1" t="s">
        <v>29</v>
      </c>
      <c r="Q6" s="1" t="s">
        <v>19</v>
      </c>
      <c r="R6" s="1" t="s">
        <v>29</v>
      </c>
      <c r="S6" s="1" t="s">
        <v>29</v>
      </c>
      <c r="T6" s="1" t="s">
        <v>19</v>
      </c>
      <c r="U6" s="1" t="s">
        <v>29</v>
      </c>
      <c r="V6" s="1" t="s">
        <v>19</v>
      </c>
      <c r="W6" s="1" t="s">
        <v>29</v>
      </c>
      <c r="X6" s="1">
        <v>1.65</v>
      </c>
      <c r="Y6" s="1">
        <v>74</v>
      </c>
      <c r="Z6" s="3">
        <f t="shared" si="0"/>
        <v>27.180899908172638</v>
      </c>
      <c r="AA6" s="1">
        <v>117</v>
      </c>
      <c r="AB6" s="1">
        <v>94</v>
      </c>
      <c r="AC6" s="3">
        <f t="shared" si="1"/>
        <v>0.80341880341880345</v>
      </c>
      <c r="AD6" t="s">
        <v>188</v>
      </c>
      <c r="AE6">
        <v>60</v>
      </c>
      <c r="AF6">
        <v>12</v>
      </c>
      <c r="AG6">
        <v>37.1</v>
      </c>
    </row>
    <row r="7" spans="1:34" x14ac:dyDescent="0.25">
      <c r="A7" s="1">
        <v>5</v>
      </c>
      <c r="B7" s="1">
        <v>82</v>
      </c>
      <c r="C7" s="1" t="s">
        <v>32</v>
      </c>
      <c r="D7" s="1" t="s">
        <v>21</v>
      </c>
      <c r="E7" s="1" t="s">
        <v>34</v>
      </c>
      <c r="F7" s="1" t="s">
        <v>23</v>
      </c>
      <c r="G7" s="1">
        <v>2010</v>
      </c>
      <c r="H7" s="1">
        <v>4</v>
      </c>
      <c r="I7" s="1">
        <v>3</v>
      </c>
      <c r="J7" s="1" t="s">
        <v>14</v>
      </c>
      <c r="K7" s="1" t="s">
        <v>15</v>
      </c>
      <c r="L7" s="1" t="s">
        <v>16</v>
      </c>
      <c r="M7" s="1" t="s">
        <v>29</v>
      </c>
      <c r="N7" s="1" t="s">
        <v>33</v>
      </c>
      <c r="O7" s="1" t="s">
        <v>29</v>
      </c>
      <c r="P7" s="1" t="s">
        <v>29</v>
      </c>
      <c r="Q7" s="1" t="s">
        <v>19</v>
      </c>
      <c r="R7" s="1" t="s">
        <v>29</v>
      </c>
      <c r="S7" s="1" t="s">
        <v>29</v>
      </c>
      <c r="T7" s="1" t="s">
        <v>19</v>
      </c>
      <c r="U7" s="1" t="s">
        <v>29</v>
      </c>
      <c r="V7" s="1" t="s">
        <v>19</v>
      </c>
      <c r="W7" s="1" t="s">
        <v>29</v>
      </c>
      <c r="X7" s="1">
        <v>1.48</v>
      </c>
      <c r="Y7" s="1">
        <v>72.5</v>
      </c>
      <c r="Z7" s="3">
        <f t="shared" si="0"/>
        <v>33.098977355734114</v>
      </c>
      <c r="AA7" s="1">
        <v>42</v>
      </c>
      <c r="AB7" s="1">
        <v>38</v>
      </c>
      <c r="AC7" s="3">
        <f t="shared" si="1"/>
        <v>0.90476190476190477</v>
      </c>
      <c r="AD7" t="s">
        <v>390</v>
      </c>
      <c r="AE7">
        <v>86</v>
      </c>
      <c r="AF7">
        <v>20</v>
      </c>
      <c r="AG7">
        <v>37.200000000000003</v>
      </c>
      <c r="AH7">
        <v>8.1</v>
      </c>
    </row>
    <row r="8" spans="1:34" x14ac:dyDescent="0.25">
      <c r="A8" s="1">
        <v>6</v>
      </c>
      <c r="B8" s="1">
        <v>32</v>
      </c>
      <c r="C8" s="1" t="s">
        <v>11</v>
      </c>
      <c r="D8" s="1" t="s">
        <v>35</v>
      </c>
      <c r="E8" s="1" t="s">
        <v>36</v>
      </c>
      <c r="F8" s="1" t="s">
        <v>37</v>
      </c>
      <c r="G8" s="1">
        <v>2012</v>
      </c>
      <c r="H8" s="1">
        <v>2</v>
      </c>
      <c r="I8" s="1">
        <v>7</v>
      </c>
      <c r="J8" s="1" t="s">
        <v>19</v>
      </c>
      <c r="K8" s="1" t="s">
        <v>29</v>
      </c>
      <c r="L8" s="1" t="s">
        <v>18</v>
      </c>
      <c r="M8" s="1" t="s">
        <v>29</v>
      </c>
      <c r="N8" s="1" t="s">
        <v>33</v>
      </c>
      <c r="O8" s="1" t="s">
        <v>29</v>
      </c>
      <c r="P8" s="1" t="s">
        <v>29</v>
      </c>
      <c r="Q8" s="1" t="s">
        <v>19</v>
      </c>
      <c r="R8" s="1" t="s">
        <v>29</v>
      </c>
      <c r="S8" s="1" t="s">
        <v>29</v>
      </c>
      <c r="T8" s="1" t="s">
        <v>19</v>
      </c>
      <c r="U8" s="1" t="s">
        <v>29</v>
      </c>
      <c r="V8" s="1" t="s">
        <v>19</v>
      </c>
      <c r="W8" s="1" t="s">
        <v>29</v>
      </c>
      <c r="X8" s="1">
        <v>1.62</v>
      </c>
      <c r="Y8" s="1">
        <v>57</v>
      </c>
      <c r="Z8" s="3">
        <f t="shared" si="0"/>
        <v>21.719250114311837</v>
      </c>
      <c r="AA8" s="1">
        <v>84</v>
      </c>
      <c r="AB8" s="1">
        <v>91</v>
      </c>
      <c r="AC8" s="3">
        <f t="shared" si="1"/>
        <v>1.0833333333333333</v>
      </c>
      <c r="AD8" t="s">
        <v>188</v>
      </c>
      <c r="AE8">
        <v>80</v>
      </c>
      <c r="AF8">
        <v>16</v>
      </c>
      <c r="AG8">
        <v>36.4</v>
      </c>
    </row>
    <row r="9" spans="1:34" x14ac:dyDescent="0.25">
      <c r="A9" s="1">
        <v>7</v>
      </c>
      <c r="B9" s="1">
        <v>44</v>
      </c>
      <c r="C9" s="1" t="s">
        <v>32</v>
      </c>
      <c r="D9" s="1" t="s">
        <v>21</v>
      </c>
      <c r="E9" s="1" t="s">
        <v>36</v>
      </c>
      <c r="F9" s="1" t="s">
        <v>38</v>
      </c>
      <c r="G9" s="1">
        <v>2012</v>
      </c>
      <c r="H9" s="1">
        <v>2</v>
      </c>
      <c r="I9" s="1">
        <v>3</v>
      </c>
      <c r="J9" s="1" t="s">
        <v>19</v>
      </c>
      <c r="K9" s="1" t="s">
        <v>29</v>
      </c>
      <c r="L9" s="1" t="s">
        <v>16</v>
      </c>
      <c r="M9" s="1" t="s">
        <v>29</v>
      </c>
      <c r="N9" s="1" t="s">
        <v>33</v>
      </c>
      <c r="O9" s="1" t="s">
        <v>29</v>
      </c>
      <c r="P9" s="1" t="s">
        <v>29</v>
      </c>
      <c r="Q9" s="1" t="s">
        <v>19</v>
      </c>
      <c r="R9" s="1" t="s">
        <v>29</v>
      </c>
      <c r="S9" s="1" t="s">
        <v>29</v>
      </c>
      <c r="T9" s="1" t="s">
        <v>19</v>
      </c>
      <c r="U9" s="1" t="s">
        <v>29</v>
      </c>
      <c r="V9" s="1" t="s">
        <v>19</v>
      </c>
      <c r="W9" s="1" t="s">
        <v>29</v>
      </c>
      <c r="X9" s="1">
        <v>1.54</v>
      </c>
      <c r="Y9" s="1">
        <v>67</v>
      </c>
      <c r="Z9" s="3">
        <f t="shared" si="0"/>
        <v>28.250969809411369</v>
      </c>
      <c r="AA9" s="1">
        <v>38</v>
      </c>
      <c r="AB9" s="1">
        <v>35</v>
      </c>
      <c r="AC9" s="3">
        <f t="shared" si="1"/>
        <v>0.92105263157894735</v>
      </c>
      <c r="AD9" t="s">
        <v>391</v>
      </c>
      <c r="AE9">
        <v>87</v>
      </c>
      <c r="AF9">
        <v>18</v>
      </c>
      <c r="AG9">
        <v>37</v>
      </c>
      <c r="AH9">
        <v>7</v>
      </c>
    </row>
    <row r="10" spans="1:34" x14ac:dyDescent="0.25">
      <c r="A10" s="1">
        <v>8</v>
      </c>
      <c r="B10" s="1">
        <v>63</v>
      </c>
      <c r="C10" s="1" t="s">
        <v>11</v>
      </c>
      <c r="D10" s="1" t="s">
        <v>21</v>
      </c>
      <c r="E10" s="1" t="s">
        <v>36</v>
      </c>
      <c r="F10" s="1" t="s">
        <v>23</v>
      </c>
      <c r="G10" s="1">
        <v>1999</v>
      </c>
      <c r="H10" s="1">
        <v>15</v>
      </c>
      <c r="I10" s="1">
        <v>4</v>
      </c>
      <c r="J10" s="1" t="s">
        <v>14</v>
      </c>
      <c r="K10" s="1" t="s">
        <v>15</v>
      </c>
      <c r="L10" s="1" t="s">
        <v>16</v>
      </c>
      <c r="M10" s="1" t="s">
        <v>29</v>
      </c>
      <c r="N10" s="1" t="s">
        <v>25</v>
      </c>
      <c r="O10" s="1" t="s">
        <v>26</v>
      </c>
      <c r="P10" s="1" t="s">
        <v>40</v>
      </c>
      <c r="Q10" s="1" t="s">
        <v>19</v>
      </c>
      <c r="R10" s="1" t="s">
        <v>29</v>
      </c>
      <c r="S10" s="1" t="s">
        <v>29</v>
      </c>
      <c r="T10" s="1" t="s">
        <v>14</v>
      </c>
      <c r="U10" s="1" t="s">
        <v>41</v>
      </c>
      <c r="V10" s="1" t="s">
        <v>14</v>
      </c>
      <c r="W10" s="1" t="s">
        <v>41</v>
      </c>
      <c r="X10" s="1">
        <v>1.54</v>
      </c>
      <c r="Y10" s="1">
        <v>75</v>
      </c>
      <c r="Z10" s="3">
        <f t="shared" si="0"/>
        <v>31.624219935908247</v>
      </c>
      <c r="AA10" s="1">
        <v>41</v>
      </c>
      <c r="AB10" s="1">
        <v>44</v>
      </c>
      <c r="AC10" s="3">
        <f t="shared" si="1"/>
        <v>1.0731707317073171</v>
      </c>
      <c r="AD10" t="s">
        <v>168</v>
      </c>
      <c r="AE10">
        <v>78</v>
      </c>
      <c r="AF10">
        <v>16</v>
      </c>
      <c r="AG10">
        <v>37.1</v>
      </c>
      <c r="AH10">
        <v>7.8</v>
      </c>
    </row>
    <row r="11" spans="1:34" x14ac:dyDescent="0.25">
      <c r="A11" s="1">
        <v>9</v>
      </c>
      <c r="B11" s="1">
        <v>72</v>
      </c>
      <c r="C11" s="1" t="s">
        <v>32</v>
      </c>
      <c r="D11" s="1" t="s">
        <v>42</v>
      </c>
      <c r="E11" s="1" t="s">
        <v>37</v>
      </c>
      <c r="F11" s="1" t="s">
        <v>43</v>
      </c>
      <c r="G11" s="1">
        <v>2009</v>
      </c>
      <c r="H11" s="1">
        <v>5</v>
      </c>
      <c r="I11" s="1">
        <v>4</v>
      </c>
      <c r="J11" s="1" t="s">
        <v>19</v>
      </c>
      <c r="K11" s="1" t="s">
        <v>29</v>
      </c>
      <c r="L11" s="1" t="s">
        <v>16</v>
      </c>
      <c r="M11" s="1" t="s">
        <v>17</v>
      </c>
      <c r="N11" s="1" t="s">
        <v>33</v>
      </c>
      <c r="O11" s="1" t="s">
        <v>29</v>
      </c>
      <c r="P11" s="1" t="s">
        <v>29</v>
      </c>
      <c r="Q11" s="1" t="s">
        <v>19</v>
      </c>
      <c r="R11" s="1" t="s">
        <v>29</v>
      </c>
      <c r="S11" s="1" t="s">
        <v>29</v>
      </c>
      <c r="T11" s="1" t="s">
        <v>19</v>
      </c>
      <c r="U11" s="1" t="s">
        <v>29</v>
      </c>
      <c r="V11" s="1" t="s">
        <v>19</v>
      </c>
      <c r="W11" s="1" t="s">
        <v>29</v>
      </c>
      <c r="X11" s="1">
        <v>1.5</v>
      </c>
      <c r="Y11" s="1">
        <v>71</v>
      </c>
      <c r="Z11" s="3">
        <f t="shared" si="0"/>
        <v>31.555555555555557</v>
      </c>
      <c r="AA11" s="1">
        <v>119</v>
      </c>
      <c r="AB11" s="1">
        <v>103</v>
      </c>
      <c r="AC11" s="3">
        <f t="shared" si="1"/>
        <v>0.86554621848739499</v>
      </c>
      <c r="AD11" t="s">
        <v>167</v>
      </c>
      <c r="AE11">
        <v>104</v>
      </c>
      <c r="AF11">
        <v>20</v>
      </c>
      <c r="AG11">
        <v>36.4</v>
      </c>
    </row>
    <row r="12" spans="1:34" x14ac:dyDescent="0.25">
      <c r="A12" s="1">
        <v>10</v>
      </c>
      <c r="B12" s="1">
        <v>56</v>
      </c>
      <c r="C12" s="1" t="s">
        <v>32</v>
      </c>
      <c r="D12" s="1" t="s">
        <v>35</v>
      </c>
      <c r="E12" s="1" t="s">
        <v>22</v>
      </c>
      <c r="F12" s="1" t="s">
        <v>38</v>
      </c>
      <c r="G12" s="1">
        <v>2004</v>
      </c>
      <c r="H12" s="1">
        <v>10</v>
      </c>
      <c r="I12" s="1">
        <v>4</v>
      </c>
      <c r="J12" s="1" t="s">
        <v>14</v>
      </c>
      <c r="K12" s="1" t="s">
        <v>15</v>
      </c>
      <c r="L12" s="1" t="s">
        <v>16</v>
      </c>
      <c r="M12" s="1" t="s">
        <v>12</v>
      </c>
      <c r="N12" s="1" t="s">
        <v>33</v>
      </c>
      <c r="O12" s="1" t="s">
        <v>29</v>
      </c>
      <c r="P12" s="1" t="s">
        <v>29</v>
      </c>
      <c r="Q12" s="1" t="s">
        <v>19</v>
      </c>
      <c r="R12" s="1" t="s">
        <v>29</v>
      </c>
      <c r="S12" s="1" t="s">
        <v>29</v>
      </c>
      <c r="T12" s="1" t="s">
        <v>14</v>
      </c>
      <c r="U12" s="1" t="s">
        <v>44</v>
      </c>
      <c r="V12" s="1" t="s">
        <v>14</v>
      </c>
      <c r="W12" s="1" t="s">
        <v>44</v>
      </c>
      <c r="X12" s="1">
        <v>1.52</v>
      </c>
      <c r="Y12" s="1">
        <v>87</v>
      </c>
      <c r="Z12" s="3">
        <f t="shared" si="0"/>
        <v>37.655817174515235</v>
      </c>
      <c r="AA12" s="1">
        <v>121</v>
      </c>
      <c r="AB12" s="1">
        <v>102</v>
      </c>
      <c r="AC12" s="3">
        <f t="shared" si="1"/>
        <v>0.84297520661157022</v>
      </c>
      <c r="AD12" t="s">
        <v>172</v>
      </c>
      <c r="AE12">
        <v>96</v>
      </c>
      <c r="AF12">
        <v>18</v>
      </c>
      <c r="AG12">
        <v>36.799999999999997</v>
      </c>
    </row>
    <row r="13" spans="1:34" x14ac:dyDescent="0.25">
      <c r="A13" s="1">
        <v>11</v>
      </c>
      <c r="B13" s="1">
        <v>37</v>
      </c>
      <c r="C13" s="1" t="s">
        <v>32</v>
      </c>
      <c r="D13" s="1" t="s">
        <v>21</v>
      </c>
      <c r="E13" s="1" t="s">
        <v>36</v>
      </c>
      <c r="F13" s="1" t="s">
        <v>38</v>
      </c>
      <c r="G13" s="1">
        <v>2013</v>
      </c>
      <c r="H13" s="1">
        <v>1</v>
      </c>
      <c r="I13" s="1">
        <v>4</v>
      </c>
      <c r="J13" s="1" t="s">
        <v>14</v>
      </c>
      <c r="K13" s="1" t="s">
        <v>15</v>
      </c>
      <c r="L13" s="1" t="s">
        <v>18</v>
      </c>
      <c r="M13" s="1" t="s">
        <v>29</v>
      </c>
      <c r="N13" s="1" t="s">
        <v>25</v>
      </c>
      <c r="O13" s="1" t="s">
        <v>26</v>
      </c>
      <c r="P13" s="1" t="s">
        <v>28</v>
      </c>
      <c r="Q13" s="1" t="s">
        <v>14</v>
      </c>
      <c r="R13" s="4" t="s">
        <v>31</v>
      </c>
      <c r="S13" s="4" t="s">
        <v>31</v>
      </c>
      <c r="T13" s="1" t="s">
        <v>14</v>
      </c>
      <c r="U13" s="1" t="s">
        <v>45</v>
      </c>
      <c r="V13" s="1" t="s">
        <v>19</v>
      </c>
      <c r="W13" s="1" t="s">
        <v>29</v>
      </c>
      <c r="X13" s="1">
        <v>1.76</v>
      </c>
      <c r="Y13" s="1">
        <v>81</v>
      </c>
      <c r="Z13" s="3">
        <f t="shared" si="0"/>
        <v>26.149276859504134</v>
      </c>
      <c r="AA13" s="1">
        <v>41</v>
      </c>
      <c r="AB13" s="1">
        <v>38</v>
      </c>
      <c r="AC13" s="3">
        <f t="shared" si="1"/>
        <v>0.92682926829268297</v>
      </c>
      <c r="AD13" t="s">
        <v>168</v>
      </c>
      <c r="AE13">
        <v>72</v>
      </c>
      <c r="AF13">
        <v>20</v>
      </c>
      <c r="AG13">
        <v>37.200000000000003</v>
      </c>
      <c r="AH13">
        <v>4.0999999999999996</v>
      </c>
    </row>
    <row r="14" spans="1:34" x14ac:dyDescent="0.25">
      <c r="A14" s="1">
        <v>12</v>
      </c>
      <c r="B14" s="1">
        <v>56</v>
      </c>
      <c r="C14" s="1" t="s">
        <v>32</v>
      </c>
      <c r="D14" s="1" t="s">
        <v>21</v>
      </c>
      <c r="E14" s="1" t="s">
        <v>36</v>
      </c>
      <c r="F14" s="1" t="s">
        <v>38</v>
      </c>
      <c r="G14" s="1">
        <v>2003</v>
      </c>
      <c r="H14" s="1">
        <v>11</v>
      </c>
      <c r="I14" s="1">
        <v>3</v>
      </c>
      <c r="J14" s="1" t="s">
        <v>19</v>
      </c>
      <c r="K14" s="1" t="s">
        <v>29</v>
      </c>
      <c r="L14" s="1" t="s">
        <v>16</v>
      </c>
      <c r="M14" s="1" t="s">
        <v>16</v>
      </c>
      <c r="N14" s="1" t="s">
        <v>33</v>
      </c>
      <c r="O14" s="1" t="s">
        <v>29</v>
      </c>
      <c r="P14" s="1" t="s">
        <v>29</v>
      </c>
      <c r="Q14" s="1" t="s">
        <v>19</v>
      </c>
      <c r="R14" s="1" t="s">
        <v>29</v>
      </c>
      <c r="S14" s="1" t="s">
        <v>29</v>
      </c>
      <c r="T14" s="1" t="s">
        <v>14</v>
      </c>
      <c r="U14" s="1" t="s">
        <v>46</v>
      </c>
      <c r="V14" s="1" t="s">
        <v>19</v>
      </c>
      <c r="W14" s="1" t="s">
        <v>29</v>
      </c>
      <c r="X14" s="1">
        <v>1.55</v>
      </c>
      <c r="Y14" s="1">
        <v>76</v>
      </c>
      <c r="Z14" s="3">
        <f t="shared" si="0"/>
        <v>31.633714880332981</v>
      </c>
      <c r="AA14" s="1">
        <v>116</v>
      </c>
      <c r="AB14" s="1">
        <v>101</v>
      </c>
      <c r="AC14" s="3">
        <f t="shared" si="1"/>
        <v>0.87068965517241381</v>
      </c>
      <c r="AD14" t="s">
        <v>392</v>
      </c>
      <c r="AE14">
        <v>65</v>
      </c>
      <c r="AF14">
        <v>14</v>
      </c>
      <c r="AG14">
        <v>37</v>
      </c>
    </row>
    <row r="15" spans="1:34" x14ac:dyDescent="0.25">
      <c r="A15" s="1">
        <v>13</v>
      </c>
      <c r="B15" s="1">
        <v>63</v>
      </c>
      <c r="C15" s="1" t="s">
        <v>32</v>
      </c>
      <c r="D15" s="1" t="s">
        <v>35</v>
      </c>
      <c r="E15" s="1" t="s">
        <v>22</v>
      </c>
      <c r="F15" s="1" t="s">
        <v>38</v>
      </c>
      <c r="G15" s="1">
        <v>2003</v>
      </c>
      <c r="H15" s="1">
        <v>11</v>
      </c>
      <c r="I15" s="1">
        <v>4</v>
      </c>
      <c r="J15" s="1" t="s">
        <v>14</v>
      </c>
      <c r="K15" s="1" t="s">
        <v>15</v>
      </c>
      <c r="L15" s="1" t="s">
        <v>18</v>
      </c>
      <c r="M15" s="55" t="s">
        <v>29</v>
      </c>
      <c r="N15" s="1" t="s">
        <v>33</v>
      </c>
      <c r="O15" s="1" t="s">
        <v>29</v>
      </c>
      <c r="P15" s="1" t="s">
        <v>29</v>
      </c>
      <c r="Q15" s="1" t="s">
        <v>19</v>
      </c>
      <c r="R15" s="1" t="s">
        <v>29</v>
      </c>
      <c r="S15" s="1" t="s">
        <v>29</v>
      </c>
      <c r="T15" s="1" t="s">
        <v>14</v>
      </c>
      <c r="U15" s="1" t="s">
        <v>47</v>
      </c>
      <c r="V15" s="1" t="s">
        <v>19</v>
      </c>
      <c r="W15" s="1" t="s">
        <v>29</v>
      </c>
      <c r="X15" s="1">
        <v>1.54</v>
      </c>
      <c r="Y15" s="1">
        <v>69</v>
      </c>
      <c r="Z15" s="3">
        <f t="shared" si="0"/>
        <v>29.094282341035587</v>
      </c>
      <c r="AA15" s="1">
        <v>43</v>
      </c>
      <c r="AB15" s="1">
        <v>38</v>
      </c>
      <c r="AC15" s="3">
        <f t="shared" si="1"/>
        <v>0.88372093023255816</v>
      </c>
      <c r="AD15" t="s">
        <v>393</v>
      </c>
      <c r="AE15">
        <v>77</v>
      </c>
      <c r="AF15">
        <v>16</v>
      </c>
      <c r="AG15">
        <v>36.799999999999997</v>
      </c>
      <c r="AH15">
        <v>9.9</v>
      </c>
    </row>
    <row r="16" spans="1:34" x14ac:dyDescent="0.25">
      <c r="A16" s="1">
        <v>14</v>
      </c>
      <c r="B16" s="1">
        <v>76</v>
      </c>
      <c r="C16" s="1" t="s">
        <v>32</v>
      </c>
      <c r="D16" s="1" t="s">
        <v>42</v>
      </c>
      <c r="E16" s="1" t="s">
        <v>22</v>
      </c>
      <c r="F16" s="1" t="s">
        <v>23</v>
      </c>
      <c r="G16" s="1">
        <v>2007</v>
      </c>
      <c r="H16" s="1">
        <v>7</v>
      </c>
      <c r="I16" s="1">
        <v>3</v>
      </c>
      <c r="J16" s="1" t="s">
        <v>14</v>
      </c>
      <c r="K16" s="1" t="s">
        <v>48</v>
      </c>
      <c r="L16" s="1" t="s">
        <v>16</v>
      </c>
      <c r="M16" s="1" t="s">
        <v>16</v>
      </c>
      <c r="N16" s="1" t="s">
        <v>33</v>
      </c>
      <c r="O16" s="1" t="s">
        <v>29</v>
      </c>
      <c r="P16" s="1" t="s">
        <v>29</v>
      </c>
      <c r="Q16" s="1" t="s">
        <v>19</v>
      </c>
      <c r="R16" s="1" t="s">
        <v>29</v>
      </c>
      <c r="S16" s="1" t="s">
        <v>29</v>
      </c>
      <c r="T16" s="1" t="s">
        <v>14</v>
      </c>
      <c r="U16" s="1" t="s">
        <v>49</v>
      </c>
      <c r="V16" s="1" t="s">
        <v>14</v>
      </c>
      <c r="W16" s="1" t="s">
        <v>49</v>
      </c>
      <c r="X16" s="1">
        <v>1.75</v>
      </c>
      <c r="Y16" s="1">
        <v>76</v>
      </c>
      <c r="Z16" s="3">
        <f t="shared" si="0"/>
        <v>24.816326530612244</v>
      </c>
      <c r="AA16" s="1">
        <v>39</v>
      </c>
      <c r="AB16" s="1">
        <v>45</v>
      </c>
      <c r="AC16" s="3">
        <f t="shared" si="1"/>
        <v>1.1538461538461537</v>
      </c>
      <c r="AD16" t="s">
        <v>214</v>
      </c>
      <c r="AE16">
        <v>80</v>
      </c>
      <c r="AF16">
        <v>20</v>
      </c>
      <c r="AG16">
        <v>37.200000000000003</v>
      </c>
      <c r="AH16">
        <v>6</v>
      </c>
    </row>
    <row r="17" spans="1:34" x14ac:dyDescent="0.25">
      <c r="A17" s="1">
        <v>15</v>
      </c>
      <c r="B17" s="1">
        <v>54</v>
      </c>
      <c r="C17" s="1" t="s">
        <v>32</v>
      </c>
      <c r="D17" s="1" t="s">
        <v>21</v>
      </c>
      <c r="E17" s="1" t="s">
        <v>34</v>
      </c>
      <c r="F17" s="1" t="s">
        <v>50</v>
      </c>
      <c r="G17" s="1">
        <v>2010</v>
      </c>
      <c r="H17" s="1">
        <v>4</v>
      </c>
      <c r="I17" s="1">
        <v>3</v>
      </c>
      <c r="J17" s="1" t="s">
        <v>19</v>
      </c>
      <c r="K17" s="1" t="s">
        <v>29</v>
      </c>
      <c r="L17" s="1" t="s">
        <v>16</v>
      </c>
      <c r="M17" s="1" t="s">
        <v>29</v>
      </c>
      <c r="N17" s="1" t="s">
        <v>33</v>
      </c>
      <c r="O17" s="1" t="s">
        <v>29</v>
      </c>
      <c r="P17" s="1" t="s">
        <v>29</v>
      </c>
      <c r="Q17" s="1" t="s">
        <v>19</v>
      </c>
      <c r="R17" s="1" t="s">
        <v>29</v>
      </c>
      <c r="S17" s="1" t="s">
        <v>29</v>
      </c>
      <c r="T17" s="1" t="s">
        <v>14</v>
      </c>
      <c r="U17" s="1" t="s">
        <v>47</v>
      </c>
      <c r="V17" s="1" t="s">
        <v>19</v>
      </c>
      <c r="W17" s="1" t="s">
        <v>29</v>
      </c>
      <c r="X17" s="1">
        <v>1.53</v>
      </c>
      <c r="Y17" s="1">
        <v>74</v>
      </c>
      <c r="Z17" s="3">
        <f t="shared" si="0"/>
        <v>31.611773249604852</v>
      </c>
      <c r="AA17" s="1">
        <v>119</v>
      </c>
      <c r="AB17" s="1">
        <v>105</v>
      </c>
      <c r="AC17" s="3">
        <f t="shared" si="1"/>
        <v>0.88235294117647056</v>
      </c>
      <c r="AD17" t="s">
        <v>169</v>
      </c>
      <c r="AE17">
        <v>70</v>
      </c>
      <c r="AF17">
        <v>18</v>
      </c>
      <c r="AG17">
        <v>37.1</v>
      </c>
      <c r="AH17">
        <v>9.5</v>
      </c>
    </row>
    <row r="18" spans="1:34" x14ac:dyDescent="0.25">
      <c r="A18" s="1">
        <v>16</v>
      </c>
      <c r="B18" s="1">
        <v>56</v>
      </c>
      <c r="C18" s="1" t="s">
        <v>32</v>
      </c>
      <c r="D18" s="1" t="s">
        <v>21</v>
      </c>
      <c r="E18" s="1" t="s">
        <v>36</v>
      </c>
      <c r="F18" s="1" t="s">
        <v>50</v>
      </c>
      <c r="G18" s="1">
        <v>1992</v>
      </c>
      <c r="H18" s="1">
        <v>22</v>
      </c>
      <c r="I18" s="1">
        <v>3</v>
      </c>
      <c r="J18" s="1" t="s">
        <v>14</v>
      </c>
      <c r="K18" s="1" t="s">
        <v>51</v>
      </c>
      <c r="L18" s="1" t="s">
        <v>16</v>
      </c>
      <c r="M18" s="1" t="s">
        <v>29</v>
      </c>
      <c r="N18" s="1" t="s">
        <v>33</v>
      </c>
      <c r="O18" s="1" t="s">
        <v>29</v>
      </c>
      <c r="P18" s="1" t="s">
        <v>29</v>
      </c>
      <c r="Q18" s="1" t="s">
        <v>19</v>
      </c>
      <c r="R18" s="1" t="s">
        <v>29</v>
      </c>
      <c r="S18" s="1" t="s">
        <v>29</v>
      </c>
      <c r="T18" s="1" t="s">
        <v>19</v>
      </c>
      <c r="U18" s="1" t="s">
        <v>29</v>
      </c>
      <c r="V18" s="1" t="s">
        <v>19</v>
      </c>
      <c r="W18" s="1" t="s">
        <v>29</v>
      </c>
      <c r="X18" s="1">
        <v>1.5</v>
      </c>
      <c r="Y18" s="1">
        <v>65</v>
      </c>
      <c r="Z18" s="3">
        <f t="shared" si="0"/>
        <v>28.888888888888889</v>
      </c>
      <c r="AA18" s="1">
        <v>38</v>
      </c>
      <c r="AB18" s="1">
        <v>40</v>
      </c>
      <c r="AC18" s="3">
        <f t="shared" si="1"/>
        <v>1.0526315789473684</v>
      </c>
      <c r="AD18" t="s">
        <v>169</v>
      </c>
      <c r="AE18">
        <v>80</v>
      </c>
      <c r="AF18">
        <v>16</v>
      </c>
      <c r="AG18">
        <v>37.5</v>
      </c>
      <c r="AH18">
        <v>14.2</v>
      </c>
    </row>
    <row r="19" spans="1:34" x14ac:dyDescent="0.25">
      <c r="A19" s="1">
        <v>17</v>
      </c>
      <c r="B19" s="1">
        <v>56</v>
      </c>
      <c r="C19" s="1" t="s">
        <v>32</v>
      </c>
      <c r="D19" s="1" t="s">
        <v>42</v>
      </c>
      <c r="E19" s="1" t="s">
        <v>22</v>
      </c>
      <c r="F19" s="1" t="s">
        <v>38</v>
      </c>
      <c r="G19" s="1">
        <v>2003</v>
      </c>
      <c r="H19" s="1">
        <v>11</v>
      </c>
      <c r="I19" s="1">
        <v>4</v>
      </c>
      <c r="J19" s="1" t="s">
        <v>14</v>
      </c>
      <c r="K19" s="1" t="s">
        <v>52</v>
      </c>
      <c r="L19" s="1" t="s">
        <v>16</v>
      </c>
      <c r="M19" s="1" t="s">
        <v>29</v>
      </c>
      <c r="N19" s="1" t="s">
        <v>33</v>
      </c>
      <c r="O19" s="1" t="s">
        <v>29</v>
      </c>
      <c r="P19" s="1" t="s">
        <v>29</v>
      </c>
      <c r="Q19" s="1" t="s">
        <v>19</v>
      </c>
      <c r="R19" s="1" t="s">
        <v>29</v>
      </c>
      <c r="S19" s="1" t="s">
        <v>29</v>
      </c>
      <c r="T19" s="1" t="s">
        <v>14</v>
      </c>
      <c r="U19" s="1" t="s">
        <v>46</v>
      </c>
      <c r="V19" s="1" t="s">
        <v>14</v>
      </c>
      <c r="W19" s="1" t="s">
        <v>41</v>
      </c>
      <c r="X19" s="1">
        <v>1.48</v>
      </c>
      <c r="Y19" s="1">
        <v>61</v>
      </c>
      <c r="Z19" s="3">
        <f t="shared" si="0"/>
        <v>27.848794740686635</v>
      </c>
      <c r="AA19" s="1">
        <v>114</v>
      </c>
      <c r="AB19" s="1">
        <v>102</v>
      </c>
      <c r="AC19" s="3">
        <f t="shared" si="1"/>
        <v>0.89473684210526316</v>
      </c>
      <c r="AD19" t="s">
        <v>168</v>
      </c>
      <c r="AE19">
        <v>100</v>
      </c>
      <c r="AF19">
        <v>20</v>
      </c>
      <c r="AG19">
        <v>35.200000000000003</v>
      </c>
      <c r="AH19">
        <v>11.1</v>
      </c>
    </row>
    <row r="20" spans="1:34" x14ac:dyDescent="0.25">
      <c r="A20" s="1">
        <v>18</v>
      </c>
      <c r="B20" s="1">
        <v>56</v>
      </c>
      <c r="C20" s="1" t="s">
        <v>32</v>
      </c>
      <c r="D20" s="1" t="s">
        <v>42</v>
      </c>
      <c r="E20" s="1" t="s">
        <v>22</v>
      </c>
      <c r="F20" s="1" t="s">
        <v>38</v>
      </c>
      <c r="G20" s="1">
        <v>2004</v>
      </c>
      <c r="H20" s="1">
        <v>10</v>
      </c>
      <c r="I20" s="1">
        <v>4</v>
      </c>
      <c r="J20" s="1" t="s">
        <v>14</v>
      </c>
      <c r="K20" s="1" t="s">
        <v>15</v>
      </c>
      <c r="L20" s="56" t="s">
        <v>16</v>
      </c>
      <c r="M20" s="56" t="s">
        <v>29</v>
      </c>
      <c r="N20" s="1" t="s">
        <v>33</v>
      </c>
      <c r="O20" s="1" t="s">
        <v>29</v>
      </c>
      <c r="P20" s="1" t="s">
        <v>29</v>
      </c>
      <c r="Q20" s="1" t="s">
        <v>19</v>
      </c>
      <c r="R20" s="1" t="s">
        <v>29</v>
      </c>
      <c r="S20" s="1" t="s">
        <v>29</v>
      </c>
      <c r="T20" s="1" t="s">
        <v>19</v>
      </c>
      <c r="U20" s="1" t="s">
        <v>29</v>
      </c>
      <c r="V20" s="1" t="s">
        <v>14</v>
      </c>
      <c r="W20" s="1" t="s">
        <v>46</v>
      </c>
      <c r="X20" s="1">
        <v>1.67</v>
      </c>
      <c r="Y20" s="1">
        <v>96</v>
      </c>
      <c r="Z20" s="3">
        <f t="shared" si="0"/>
        <v>34.42217361683818</v>
      </c>
      <c r="AA20" s="1">
        <v>42</v>
      </c>
      <c r="AB20" s="1">
        <v>44</v>
      </c>
      <c r="AC20" s="3">
        <f t="shared" si="1"/>
        <v>1.0476190476190477</v>
      </c>
      <c r="AD20" t="s">
        <v>394</v>
      </c>
      <c r="AE20">
        <v>68</v>
      </c>
      <c r="AF20">
        <v>16</v>
      </c>
      <c r="AG20">
        <v>37.4</v>
      </c>
      <c r="AH20">
        <v>14.4</v>
      </c>
    </row>
    <row r="21" spans="1:34" x14ac:dyDescent="0.25">
      <c r="A21" s="1">
        <v>19</v>
      </c>
      <c r="B21" s="1">
        <v>65</v>
      </c>
      <c r="C21" s="1" t="s">
        <v>32</v>
      </c>
      <c r="D21" s="1" t="s">
        <v>42</v>
      </c>
      <c r="E21" s="1" t="s">
        <v>22</v>
      </c>
      <c r="F21" s="1" t="s">
        <v>23</v>
      </c>
      <c r="G21" s="1">
        <v>2008</v>
      </c>
      <c r="H21" s="1">
        <v>6</v>
      </c>
      <c r="I21" s="1">
        <v>4</v>
      </c>
      <c r="J21" s="1" t="s">
        <v>14</v>
      </c>
      <c r="K21" s="1" t="s">
        <v>15</v>
      </c>
      <c r="L21" s="1" t="s">
        <v>16</v>
      </c>
      <c r="M21" s="1" t="s">
        <v>17</v>
      </c>
      <c r="N21" s="1" t="s">
        <v>33</v>
      </c>
      <c r="O21" s="1" t="s">
        <v>29</v>
      </c>
      <c r="P21" s="1" t="s">
        <v>29</v>
      </c>
      <c r="Q21" s="1" t="s">
        <v>19</v>
      </c>
      <c r="R21" s="1" t="s">
        <v>29</v>
      </c>
      <c r="S21" s="1" t="s">
        <v>29</v>
      </c>
      <c r="T21" s="1" t="s">
        <v>14</v>
      </c>
      <c r="U21" s="1" t="s">
        <v>49</v>
      </c>
      <c r="V21" s="1" t="s">
        <v>19</v>
      </c>
      <c r="W21" s="1" t="s">
        <v>29</v>
      </c>
      <c r="X21" s="1">
        <v>1.5</v>
      </c>
      <c r="Y21" s="1">
        <v>65</v>
      </c>
      <c r="Z21" s="3">
        <f t="shared" si="0"/>
        <v>28.888888888888889</v>
      </c>
      <c r="AA21" s="1">
        <v>102</v>
      </c>
      <c r="AB21" s="1">
        <v>92</v>
      </c>
      <c r="AC21" s="3">
        <f t="shared" si="1"/>
        <v>0.90196078431372551</v>
      </c>
      <c r="AD21" t="s">
        <v>186</v>
      </c>
      <c r="AE21">
        <v>80</v>
      </c>
      <c r="AF21">
        <v>16</v>
      </c>
      <c r="AG21">
        <v>37</v>
      </c>
      <c r="AH21">
        <v>25.7</v>
      </c>
    </row>
    <row r="22" spans="1:34" x14ac:dyDescent="0.25">
      <c r="A22" s="1">
        <v>20</v>
      </c>
      <c r="B22" s="1">
        <v>59</v>
      </c>
      <c r="C22" s="1" t="s">
        <v>32</v>
      </c>
      <c r="D22" s="1" t="s">
        <v>21</v>
      </c>
      <c r="E22" s="1" t="s">
        <v>22</v>
      </c>
      <c r="F22" s="1" t="s">
        <v>38</v>
      </c>
      <c r="G22" s="1">
        <v>2010</v>
      </c>
      <c r="H22" s="1">
        <v>4</v>
      </c>
      <c r="I22" s="1">
        <v>4</v>
      </c>
      <c r="J22" s="1" t="s">
        <v>14</v>
      </c>
      <c r="K22" s="1" t="s">
        <v>15</v>
      </c>
      <c r="L22" s="1" t="s">
        <v>16</v>
      </c>
      <c r="M22" s="1" t="s">
        <v>29</v>
      </c>
      <c r="N22" s="1" t="s">
        <v>33</v>
      </c>
      <c r="O22" s="1" t="s">
        <v>29</v>
      </c>
      <c r="P22" s="1" t="s">
        <v>29</v>
      </c>
      <c r="Q22" s="1" t="s">
        <v>19</v>
      </c>
      <c r="R22" s="1" t="s">
        <v>29</v>
      </c>
      <c r="S22" s="1" t="s">
        <v>29</v>
      </c>
      <c r="T22" s="1" t="s">
        <v>14</v>
      </c>
      <c r="U22" s="1" t="s">
        <v>53</v>
      </c>
      <c r="V22" s="1" t="s">
        <v>19</v>
      </c>
      <c r="W22" s="1" t="s">
        <v>29</v>
      </c>
      <c r="X22" s="1">
        <v>1.69</v>
      </c>
      <c r="Y22" s="1">
        <v>101</v>
      </c>
      <c r="Z22" s="3">
        <f t="shared" si="0"/>
        <v>35.362907461223351</v>
      </c>
      <c r="AA22" s="1">
        <v>43</v>
      </c>
      <c r="AB22" s="1">
        <v>51</v>
      </c>
      <c r="AC22" s="3">
        <f t="shared" si="1"/>
        <v>1.1860465116279071</v>
      </c>
      <c r="AD22" t="s">
        <v>184</v>
      </c>
      <c r="AE22">
        <v>104</v>
      </c>
      <c r="AF22">
        <v>16</v>
      </c>
      <c r="AG22">
        <v>37</v>
      </c>
      <c r="AH22">
        <v>16</v>
      </c>
    </row>
    <row r="23" spans="1:34" x14ac:dyDescent="0.25">
      <c r="A23" s="1">
        <v>21</v>
      </c>
      <c r="B23" s="1">
        <v>66</v>
      </c>
      <c r="C23" s="1" t="s">
        <v>11</v>
      </c>
      <c r="D23" s="1" t="s">
        <v>21</v>
      </c>
      <c r="E23" s="1" t="s">
        <v>22</v>
      </c>
      <c r="F23" s="1" t="s">
        <v>23</v>
      </c>
      <c r="G23" s="1">
        <v>2007</v>
      </c>
      <c r="H23" s="1">
        <v>7</v>
      </c>
      <c r="I23" s="1">
        <v>4</v>
      </c>
      <c r="J23" s="1" t="s">
        <v>19</v>
      </c>
      <c r="K23" s="1" t="s">
        <v>29</v>
      </c>
      <c r="L23" s="1" t="s">
        <v>18</v>
      </c>
      <c r="M23" s="1" t="s">
        <v>17</v>
      </c>
      <c r="N23" s="1" t="s">
        <v>33</v>
      </c>
      <c r="O23" s="1" t="s">
        <v>29</v>
      </c>
      <c r="P23" s="1" t="s">
        <v>29</v>
      </c>
      <c r="Q23" s="1" t="s">
        <v>14</v>
      </c>
      <c r="R23" s="4" t="s">
        <v>31</v>
      </c>
      <c r="S23" s="4" t="s">
        <v>31</v>
      </c>
      <c r="T23" s="1" t="s">
        <v>14</v>
      </c>
      <c r="U23" s="1" t="s">
        <v>49</v>
      </c>
      <c r="V23" s="1" t="s">
        <v>19</v>
      </c>
      <c r="W23" s="1" t="s">
        <v>29</v>
      </c>
      <c r="X23" s="1">
        <v>1.65</v>
      </c>
      <c r="Y23" s="1">
        <v>67</v>
      </c>
      <c r="Z23" s="3">
        <f t="shared" si="0"/>
        <v>24.609733700642796</v>
      </c>
      <c r="AA23" s="1">
        <v>95</v>
      </c>
      <c r="AB23" s="1">
        <v>100</v>
      </c>
      <c r="AC23" s="3">
        <f t="shared" si="1"/>
        <v>1.0526315789473684</v>
      </c>
      <c r="AD23" t="s">
        <v>178</v>
      </c>
      <c r="AE23">
        <v>70</v>
      </c>
      <c r="AF23">
        <v>20</v>
      </c>
      <c r="AG23">
        <v>36.799999999999997</v>
      </c>
      <c r="AH23">
        <v>3.4</v>
      </c>
    </row>
    <row r="24" spans="1:34" x14ac:dyDescent="0.25">
      <c r="A24" s="1">
        <v>22</v>
      </c>
      <c r="B24" s="1">
        <v>45</v>
      </c>
      <c r="C24" s="1" t="s">
        <v>11</v>
      </c>
      <c r="D24" s="1" t="s">
        <v>54</v>
      </c>
      <c r="E24" s="1" t="s">
        <v>34</v>
      </c>
      <c r="F24" s="1" t="s">
        <v>43</v>
      </c>
      <c r="G24" s="1">
        <v>1998</v>
      </c>
      <c r="H24" s="1">
        <v>16</v>
      </c>
      <c r="I24" s="1">
        <v>12</v>
      </c>
      <c r="J24" s="1" t="s">
        <v>14</v>
      </c>
      <c r="K24" s="1" t="s">
        <v>55</v>
      </c>
      <c r="L24" s="1" t="s">
        <v>56</v>
      </c>
      <c r="M24" s="1" t="s">
        <v>17</v>
      </c>
      <c r="N24" s="1" t="s">
        <v>25</v>
      </c>
      <c r="O24" s="1" t="s">
        <v>26</v>
      </c>
      <c r="P24" s="1" t="s">
        <v>40</v>
      </c>
      <c r="Q24" s="1" t="s">
        <v>19</v>
      </c>
      <c r="R24" s="1" t="s">
        <v>29</v>
      </c>
      <c r="S24" s="1" t="s">
        <v>29</v>
      </c>
      <c r="T24" s="1" t="s">
        <v>14</v>
      </c>
      <c r="U24" s="1" t="s">
        <v>47</v>
      </c>
      <c r="V24" s="1" t="s">
        <v>19</v>
      </c>
      <c r="W24" s="1" t="s">
        <v>29</v>
      </c>
      <c r="X24" s="1">
        <v>1.6</v>
      </c>
      <c r="Y24" s="1">
        <v>87</v>
      </c>
      <c r="Z24" s="3">
        <f t="shared" si="0"/>
        <v>33.984374999999993</v>
      </c>
      <c r="AA24" s="1">
        <v>90</v>
      </c>
      <c r="AB24" s="1">
        <v>86</v>
      </c>
      <c r="AC24" s="3">
        <f t="shared" si="1"/>
        <v>0.9555555555555556</v>
      </c>
      <c r="AD24" t="s">
        <v>395</v>
      </c>
      <c r="AE24">
        <v>76</v>
      </c>
      <c r="AF24">
        <v>18</v>
      </c>
      <c r="AG24">
        <v>37.200000000000003</v>
      </c>
      <c r="AH24">
        <v>15</v>
      </c>
    </row>
    <row r="25" spans="1:34" x14ac:dyDescent="0.25">
      <c r="A25" s="1">
        <v>23</v>
      </c>
      <c r="B25" s="1">
        <v>61</v>
      </c>
      <c r="C25" s="1" t="s">
        <v>11</v>
      </c>
      <c r="D25" s="1" t="s">
        <v>21</v>
      </c>
      <c r="E25" s="1" t="s">
        <v>22</v>
      </c>
      <c r="F25" s="1" t="s">
        <v>23</v>
      </c>
      <c r="G25" s="1">
        <v>2006</v>
      </c>
      <c r="H25" s="1">
        <v>8</v>
      </c>
      <c r="I25" s="1">
        <v>3</v>
      </c>
      <c r="J25" s="1" t="s">
        <v>19</v>
      </c>
      <c r="K25" s="1" t="s">
        <v>29</v>
      </c>
      <c r="L25" s="1" t="s">
        <v>18</v>
      </c>
      <c r="M25" s="1" t="s">
        <v>29</v>
      </c>
      <c r="N25" s="1" t="s">
        <v>25</v>
      </c>
      <c r="O25" s="1" t="s">
        <v>57</v>
      </c>
      <c r="P25" s="1" t="s">
        <v>28</v>
      </c>
      <c r="Q25" s="1" t="s">
        <v>14</v>
      </c>
      <c r="R25" s="1" t="s">
        <v>58</v>
      </c>
      <c r="S25" s="1" t="s">
        <v>58</v>
      </c>
      <c r="T25" s="1" t="s">
        <v>19</v>
      </c>
      <c r="U25" s="1" t="s">
        <v>29</v>
      </c>
      <c r="V25" s="1" t="s">
        <v>19</v>
      </c>
      <c r="W25" s="1" t="s">
        <v>29</v>
      </c>
      <c r="X25" s="1">
        <v>1.77</v>
      </c>
      <c r="Y25" s="1">
        <v>103</v>
      </c>
      <c r="Z25" s="3">
        <f t="shared" si="0"/>
        <v>32.876887229084872</v>
      </c>
      <c r="AA25" s="1">
        <v>115</v>
      </c>
      <c r="AB25" s="1">
        <v>110</v>
      </c>
      <c r="AC25" s="3">
        <f t="shared" si="1"/>
        <v>0.95652173913043481</v>
      </c>
      <c r="AD25" t="s">
        <v>396</v>
      </c>
      <c r="AE25">
        <v>80</v>
      </c>
      <c r="AF25">
        <v>18</v>
      </c>
      <c r="AG25">
        <v>37</v>
      </c>
      <c r="AH25">
        <v>8.1</v>
      </c>
    </row>
    <row r="26" spans="1:34" x14ac:dyDescent="0.25">
      <c r="A26" s="1">
        <v>24</v>
      </c>
      <c r="B26" s="1">
        <v>23</v>
      </c>
      <c r="C26" s="1" t="s">
        <v>11</v>
      </c>
      <c r="D26" s="1" t="s">
        <v>35</v>
      </c>
      <c r="E26" s="1" t="s">
        <v>22</v>
      </c>
      <c r="F26" s="1" t="s">
        <v>43</v>
      </c>
      <c r="G26" s="1">
        <v>2002</v>
      </c>
      <c r="H26" s="1">
        <v>12</v>
      </c>
      <c r="I26" s="1">
        <v>4</v>
      </c>
      <c r="J26" s="1" t="s">
        <v>14</v>
      </c>
      <c r="K26" s="1" t="s">
        <v>15</v>
      </c>
      <c r="L26" s="1" t="s">
        <v>18</v>
      </c>
      <c r="M26" s="1" t="s">
        <v>17</v>
      </c>
      <c r="N26" s="1" t="s">
        <v>33</v>
      </c>
      <c r="O26" s="1" t="s">
        <v>29</v>
      </c>
      <c r="P26" s="1" t="s">
        <v>29</v>
      </c>
      <c r="Q26" s="1" t="s">
        <v>19</v>
      </c>
      <c r="R26" s="1" t="s">
        <v>29</v>
      </c>
      <c r="S26" s="1" t="s">
        <v>29</v>
      </c>
      <c r="T26" s="1" t="s">
        <v>14</v>
      </c>
      <c r="U26" s="1" t="s">
        <v>45</v>
      </c>
      <c r="V26" s="1" t="s">
        <v>19</v>
      </c>
      <c r="W26" s="1" t="s">
        <v>29</v>
      </c>
      <c r="X26" s="1">
        <v>1.52</v>
      </c>
      <c r="Y26" s="1">
        <v>44</v>
      </c>
      <c r="Z26" s="3">
        <f t="shared" si="0"/>
        <v>19.044321329639889</v>
      </c>
      <c r="AA26" s="1">
        <v>33</v>
      </c>
      <c r="AB26" s="1">
        <v>27</v>
      </c>
      <c r="AC26" s="3">
        <f t="shared" si="1"/>
        <v>0.81818181818181823</v>
      </c>
      <c r="AD26" t="s">
        <v>397</v>
      </c>
      <c r="AE26">
        <v>78</v>
      </c>
      <c r="AF26">
        <v>16</v>
      </c>
      <c r="AG26">
        <v>36.4</v>
      </c>
      <c r="AH26">
        <v>5.8</v>
      </c>
    </row>
    <row r="27" spans="1:34" x14ac:dyDescent="0.25">
      <c r="A27" s="1">
        <v>25</v>
      </c>
      <c r="B27" s="1">
        <v>48</v>
      </c>
      <c r="C27" s="1" t="s">
        <v>32</v>
      </c>
      <c r="D27" s="1" t="s">
        <v>21</v>
      </c>
      <c r="E27" s="1" t="s">
        <v>22</v>
      </c>
      <c r="F27" s="1" t="s">
        <v>38</v>
      </c>
      <c r="G27" s="1">
        <v>2009</v>
      </c>
      <c r="H27" s="1">
        <v>5</v>
      </c>
      <c r="I27" s="1">
        <v>3</v>
      </c>
      <c r="J27" s="1" t="s">
        <v>14</v>
      </c>
      <c r="K27" s="1" t="s">
        <v>15</v>
      </c>
      <c r="L27" s="1" t="s">
        <v>16</v>
      </c>
      <c r="M27" s="1" t="s">
        <v>29</v>
      </c>
      <c r="N27" s="1" t="s">
        <v>33</v>
      </c>
      <c r="O27" s="1" t="s">
        <v>29</v>
      </c>
      <c r="P27" s="1" t="s">
        <v>29</v>
      </c>
      <c r="Q27" s="1" t="s">
        <v>19</v>
      </c>
      <c r="R27" s="1" t="s">
        <v>29</v>
      </c>
      <c r="S27" s="1" t="s">
        <v>29</v>
      </c>
      <c r="T27" s="1" t="s">
        <v>19</v>
      </c>
      <c r="U27" s="1" t="s">
        <v>29</v>
      </c>
      <c r="V27" s="1" t="s">
        <v>14</v>
      </c>
      <c r="W27" s="1" t="s">
        <v>59</v>
      </c>
      <c r="X27" s="1">
        <v>1.64</v>
      </c>
      <c r="Y27" s="1">
        <v>67</v>
      </c>
      <c r="Z27" s="3">
        <f t="shared" si="0"/>
        <v>24.910767400356935</v>
      </c>
      <c r="AA27" s="1">
        <v>40</v>
      </c>
      <c r="AB27" s="1">
        <v>34</v>
      </c>
      <c r="AC27" s="3">
        <f t="shared" si="1"/>
        <v>0.85</v>
      </c>
      <c r="AD27" t="s">
        <v>398</v>
      </c>
      <c r="AE27">
        <v>96</v>
      </c>
      <c r="AF27">
        <v>20</v>
      </c>
      <c r="AG27">
        <v>37</v>
      </c>
      <c r="AH27">
        <v>5.9</v>
      </c>
    </row>
    <row r="28" spans="1:34" x14ac:dyDescent="0.25">
      <c r="A28" s="1">
        <v>26</v>
      </c>
      <c r="B28" s="1">
        <v>60</v>
      </c>
      <c r="C28" s="1" t="s">
        <v>32</v>
      </c>
      <c r="D28" s="1" t="s">
        <v>21</v>
      </c>
      <c r="E28" s="1" t="s">
        <v>36</v>
      </c>
      <c r="F28" s="1" t="s">
        <v>38</v>
      </c>
      <c r="G28" s="1">
        <v>1993</v>
      </c>
      <c r="H28" s="1">
        <v>21</v>
      </c>
      <c r="I28" s="1">
        <v>4</v>
      </c>
      <c r="J28" s="1" t="s">
        <v>14</v>
      </c>
      <c r="K28" s="1" t="s">
        <v>15</v>
      </c>
      <c r="L28" s="1" t="s">
        <v>16</v>
      </c>
      <c r="M28" s="1" t="s">
        <v>17</v>
      </c>
      <c r="N28" s="1" t="s">
        <v>33</v>
      </c>
      <c r="O28" s="1" t="s">
        <v>29</v>
      </c>
      <c r="P28" s="1" t="s">
        <v>29</v>
      </c>
      <c r="Q28" s="1" t="s">
        <v>19</v>
      </c>
      <c r="R28" s="1" t="s">
        <v>29</v>
      </c>
      <c r="S28" s="1" t="s">
        <v>29</v>
      </c>
      <c r="T28" s="1" t="s">
        <v>19</v>
      </c>
      <c r="U28" s="1" t="s">
        <v>29</v>
      </c>
      <c r="V28" s="1" t="s">
        <v>19</v>
      </c>
      <c r="W28" s="1" t="s">
        <v>29</v>
      </c>
      <c r="X28" s="1">
        <v>1.7</v>
      </c>
      <c r="Y28" s="1">
        <v>63</v>
      </c>
      <c r="Z28" s="3">
        <f t="shared" si="0"/>
        <v>21.79930795847751</v>
      </c>
      <c r="AA28" s="1">
        <v>102</v>
      </c>
      <c r="AB28" s="1">
        <v>87</v>
      </c>
      <c r="AC28" s="3">
        <f t="shared" si="1"/>
        <v>0.8529411764705882</v>
      </c>
      <c r="AD28" t="s">
        <v>178</v>
      </c>
      <c r="AE28">
        <v>82</v>
      </c>
      <c r="AF28">
        <v>16</v>
      </c>
      <c r="AG28">
        <v>36.799999999999997</v>
      </c>
      <c r="AH28">
        <v>5.5</v>
      </c>
    </row>
    <row r="29" spans="1:34" x14ac:dyDescent="0.25">
      <c r="A29" s="1">
        <v>27</v>
      </c>
      <c r="B29" s="1">
        <v>75</v>
      </c>
      <c r="C29" s="1" t="s">
        <v>32</v>
      </c>
      <c r="D29" s="1" t="s">
        <v>21</v>
      </c>
      <c r="E29" s="1" t="s">
        <v>37</v>
      </c>
      <c r="F29" s="1" t="s">
        <v>43</v>
      </c>
      <c r="G29" s="1">
        <v>2000</v>
      </c>
      <c r="H29" s="1">
        <v>14</v>
      </c>
      <c r="I29" s="1">
        <v>4</v>
      </c>
      <c r="J29" s="1" t="s">
        <v>19</v>
      </c>
      <c r="K29" s="1" t="s">
        <v>29</v>
      </c>
      <c r="L29" s="1" t="s">
        <v>18</v>
      </c>
      <c r="M29" s="1" t="s">
        <v>29</v>
      </c>
      <c r="N29" s="1" t="s">
        <v>33</v>
      </c>
      <c r="O29" s="1" t="s">
        <v>29</v>
      </c>
      <c r="P29" s="1" t="s">
        <v>29</v>
      </c>
      <c r="Q29" s="1" t="s">
        <v>19</v>
      </c>
      <c r="R29" s="1" t="s">
        <v>29</v>
      </c>
      <c r="S29" s="1" t="s">
        <v>29</v>
      </c>
      <c r="T29" s="1" t="s">
        <v>19</v>
      </c>
      <c r="U29" s="1" t="s">
        <v>29</v>
      </c>
      <c r="V29" s="1" t="s">
        <v>19</v>
      </c>
      <c r="W29" s="1" t="s">
        <v>29</v>
      </c>
      <c r="X29" s="1">
        <v>1.5</v>
      </c>
      <c r="Y29" s="1">
        <v>49</v>
      </c>
      <c r="Z29" s="3">
        <f t="shared" si="0"/>
        <v>21.777777777777779</v>
      </c>
      <c r="AA29" s="1">
        <v>100</v>
      </c>
      <c r="AB29" s="1">
        <v>85</v>
      </c>
      <c r="AC29" s="3">
        <f t="shared" si="1"/>
        <v>0.85</v>
      </c>
      <c r="AD29" t="s">
        <v>399</v>
      </c>
      <c r="AE29">
        <v>85</v>
      </c>
      <c r="AF29">
        <v>20</v>
      </c>
      <c r="AG29">
        <v>37</v>
      </c>
      <c r="AH29">
        <v>12.9</v>
      </c>
    </row>
    <row r="30" spans="1:34" x14ac:dyDescent="0.25">
      <c r="A30" s="1">
        <v>28</v>
      </c>
      <c r="B30" s="1">
        <v>70</v>
      </c>
      <c r="C30" s="1" t="s">
        <v>32</v>
      </c>
      <c r="D30" s="1" t="s">
        <v>21</v>
      </c>
      <c r="E30" s="1" t="s">
        <v>22</v>
      </c>
      <c r="F30" s="1" t="s">
        <v>38</v>
      </c>
      <c r="G30" s="1">
        <v>2009</v>
      </c>
      <c r="H30" s="1">
        <v>5</v>
      </c>
      <c r="I30" s="1">
        <v>4</v>
      </c>
      <c r="J30" s="1" t="s">
        <v>14</v>
      </c>
      <c r="K30" s="1" t="s">
        <v>15</v>
      </c>
      <c r="L30" s="1" t="s">
        <v>16</v>
      </c>
      <c r="M30" s="1" t="s">
        <v>29</v>
      </c>
      <c r="N30" s="1" t="s">
        <v>33</v>
      </c>
      <c r="O30" s="1" t="s">
        <v>29</v>
      </c>
      <c r="P30" s="1" t="s">
        <v>29</v>
      </c>
      <c r="Q30" s="1" t="s">
        <v>19</v>
      </c>
      <c r="R30" s="1" t="s">
        <v>29</v>
      </c>
      <c r="S30" s="1" t="s">
        <v>29</v>
      </c>
      <c r="T30" s="1" t="s">
        <v>19</v>
      </c>
      <c r="U30" s="1" t="s">
        <v>29</v>
      </c>
      <c r="V30" s="1" t="s">
        <v>19</v>
      </c>
      <c r="W30" s="1" t="s">
        <v>29</v>
      </c>
      <c r="X30" s="1">
        <v>1.5</v>
      </c>
      <c r="Y30" s="1">
        <v>59</v>
      </c>
      <c r="Z30" s="3">
        <f t="shared" si="0"/>
        <v>26.222222222222221</v>
      </c>
      <c r="AA30" s="1">
        <v>45</v>
      </c>
      <c r="AB30" s="1">
        <v>35</v>
      </c>
      <c r="AC30" s="3">
        <f t="shared" si="1"/>
        <v>0.77777777777777779</v>
      </c>
      <c r="AD30" t="s">
        <v>400</v>
      </c>
      <c r="AE30">
        <v>68</v>
      </c>
      <c r="AF30">
        <v>16</v>
      </c>
      <c r="AG30">
        <v>36.5</v>
      </c>
      <c r="AH30">
        <v>18.899999999999999</v>
      </c>
    </row>
    <row r="31" spans="1:34" x14ac:dyDescent="0.25">
      <c r="A31" s="1">
        <v>29</v>
      </c>
      <c r="B31" s="1">
        <v>52</v>
      </c>
      <c r="C31" s="1" t="s">
        <v>32</v>
      </c>
      <c r="D31" s="1" t="s">
        <v>21</v>
      </c>
      <c r="E31" s="1" t="s">
        <v>22</v>
      </c>
      <c r="F31" s="1" t="s">
        <v>38</v>
      </c>
      <c r="G31" s="1">
        <v>2002</v>
      </c>
      <c r="H31" s="1">
        <v>12</v>
      </c>
      <c r="I31" s="1">
        <v>4</v>
      </c>
      <c r="J31" s="1" t="s">
        <v>14</v>
      </c>
      <c r="K31" s="1" t="s">
        <v>15</v>
      </c>
      <c r="L31" s="1" t="s">
        <v>16</v>
      </c>
      <c r="M31" s="1" t="s">
        <v>29</v>
      </c>
      <c r="N31" s="1" t="s">
        <v>33</v>
      </c>
      <c r="O31" s="1" t="s">
        <v>29</v>
      </c>
      <c r="P31" s="1" t="s">
        <v>29</v>
      </c>
      <c r="Q31" s="1" t="s">
        <v>19</v>
      </c>
      <c r="R31" s="1" t="s">
        <v>29</v>
      </c>
      <c r="S31" s="1" t="s">
        <v>29</v>
      </c>
      <c r="T31" s="1" t="s">
        <v>14</v>
      </c>
      <c r="U31" s="1" t="s">
        <v>41</v>
      </c>
      <c r="V31" s="1" t="s">
        <v>19</v>
      </c>
      <c r="W31" s="1" t="s">
        <v>29</v>
      </c>
      <c r="X31" s="1">
        <v>1.66</v>
      </c>
      <c r="Y31" s="1">
        <v>78</v>
      </c>
      <c r="Z31" s="3">
        <f t="shared" si="0"/>
        <v>28.305995064595734</v>
      </c>
      <c r="AA31" s="1">
        <v>46</v>
      </c>
      <c r="AB31" s="1">
        <v>41</v>
      </c>
      <c r="AC31" s="3">
        <f t="shared" si="1"/>
        <v>0.89130434782608692</v>
      </c>
      <c r="AD31" t="s">
        <v>190</v>
      </c>
      <c r="AE31">
        <v>74</v>
      </c>
      <c r="AF31">
        <v>14</v>
      </c>
      <c r="AG31">
        <v>36.9</v>
      </c>
      <c r="AH31">
        <v>10.199999999999999</v>
      </c>
    </row>
    <row r="32" spans="1:34" x14ac:dyDescent="0.25">
      <c r="A32" s="1">
        <v>30</v>
      </c>
      <c r="B32" s="1">
        <v>71</v>
      </c>
      <c r="C32" s="1" t="s">
        <v>11</v>
      </c>
      <c r="D32" s="1" t="s">
        <v>42</v>
      </c>
      <c r="E32" s="1" t="s">
        <v>22</v>
      </c>
      <c r="F32" s="1" t="s">
        <v>23</v>
      </c>
      <c r="G32" s="1">
        <v>2000</v>
      </c>
      <c r="H32" s="1">
        <v>14</v>
      </c>
      <c r="I32" s="1">
        <v>4</v>
      </c>
      <c r="J32" s="1" t="s">
        <v>14</v>
      </c>
      <c r="K32" s="1" t="s">
        <v>15</v>
      </c>
      <c r="L32" s="1" t="s">
        <v>12</v>
      </c>
      <c r="M32" s="1" t="s">
        <v>29</v>
      </c>
      <c r="N32" s="1" t="s">
        <v>25</v>
      </c>
      <c r="O32" s="1" t="s">
        <v>26</v>
      </c>
      <c r="P32" s="1" t="s">
        <v>40</v>
      </c>
      <c r="Q32" s="1" t="s">
        <v>19</v>
      </c>
      <c r="R32" s="1" t="s">
        <v>29</v>
      </c>
      <c r="S32" s="1" t="s">
        <v>29</v>
      </c>
      <c r="T32" s="1" t="s">
        <v>19</v>
      </c>
      <c r="U32" s="1" t="s">
        <v>29</v>
      </c>
      <c r="V32" s="1" t="s">
        <v>19</v>
      </c>
      <c r="W32" s="1" t="s">
        <v>29</v>
      </c>
      <c r="X32" s="1">
        <v>1.82</v>
      </c>
      <c r="Y32" s="1">
        <v>82</v>
      </c>
      <c r="Z32" s="3">
        <f t="shared" si="0"/>
        <v>24.755464315903875</v>
      </c>
      <c r="AA32" s="1">
        <v>41</v>
      </c>
      <c r="AB32" s="1">
        <v>38</v>
      </c>
      <c r="AC32" s="3">
        <f t="shared" si="1"/>
        <v>0.92682926829268297</v>
      </c>
      <c r="AD32" t="s">
        <v>184</v>
      </c>
      <c r="AE32">
        <v>78</v>
      </c>
      <c r="AF32">
        <v>16</v>
      </c>
      <c r="AG32">
        <v>37.4</v>
      </c>
      <c r="AH32">
        <v>6.4</v>
      </c>
    </row>
    <row r="33" spans="1:34" x14ac:dyDescent="0.25">
      <c r="A33" s="1">
        <v>31</v>
      </c>
      <c r="B33" s="1">
        <v>66</v>
      </c>
      <c r="C33" s="1" t="s">
        <v>32</v>
      </c>
      <c r="D33" s="1" t="s">
        <v>21</v>
      </c>
      <c r="E33" s="1" t="s">
        <v>22</v>
      </c>
      <c r="F33" s="1" t="s">
        <v>43</v>
      </c>
      <c r="G33" s="1">
        <v>2006</v>
      </c>
      <c r="H33" s="1">
        <v>8</v>
      </c>
      <c r="I33" s="1">
        <v>3</v>
      </c>
      <c r="J33" s="1" t="s">
        <v>14</v>
      </c>
      <c r="K33" s="1" t="s">
        <v>15</v>
      </c>
      <c r="L33" s="1" t="s">
        <v>16</v>
      </c>
      <c r="M33" s="1" t="s">
        <v>12</v>
      </c>
      <c r="N33" s="1" t="s">
        <v>33</v>
      </c>
      <c r="O33" s="1" t="s">
        <v>29</v>
      </c>
      <c r="P33" s="1" t="s">
        <v>29</v>
      </c>
      <c r="Q33" s="1" t="s">
        <v>19</v>
      </c>
      <c r="R33" s="1" t="s">
        <v>29</v>
      </c>
      <c r="S33" s="1" t="s">
        <v>29</v>
      </c>
      <c r="T33" s="1" t="s">
        <v>19</v>
      </c>
      <c r="U33" s="1" t="s">
        <v>29</v>
      </c>
      <c r="V33" s="1" t="s">
        <v>19</v>
      </c>
      <c r="W33" s="1" t="s">
        <v>29</v>
      </c>
      <c r="X33" s="1">
        <v>1.6</v>
      </c>
      <c r="Y33" s="1">
        <v>68</v>
      </c>
      <c r="Z33" s="3">
        <f t="shared" si="0"/>
        <v>26.562499999999996</v>
      </c>
      <c r="AA33" s="1">
        <v>118</v>
      </c>
      <c r="AB33" s="1">
        <v>102</v>
      </c>
      <c r="AC33" s="3">
        <f t="shared" si="1"/>
        <v>0.86440677966101698</v>
      </c>
      <c r="AD33" t="s">
        <v>401</v>
      </c>
      <c r="AE33">
        <v>61</v>
      </c>
      <c r="AF33">
        <v>20</v>
      </c>
      <c r="AG33">
        <v>37</v>
      </c>
      <c r="AH33">
        <v>7.8</v>
      </c>
    </row>
    <row r="34" spans="1:34" x14ac:dyDescent="0.25">
      <c r="A34" s="1">
        <v>32</v>
      </c>
      <c r="B34" s="1">
        <v>56</v>
      </c>
      <c r="C34" s="1" t="s">
        <v>32</v>
      </c>
      <c r="D34" s="1" t="s">
        <v>21</v>
      </c>
      <c r="E34" s="1" t="s">
        <v>36</v>
      </c>
      <c r="F34" s="1" t="s">
        <v>38</v>
      </c>
      <c r="G34" s="1">
        <v>2004</v>
      </c>
      <c r="H34" s="1">
        <v>10</v>
      </c>
      <c r="I34" s="1">
        <v>4</v>
      </c>
      <c r="J34" s="1" t="s">
        <v>14</v>
      </c>
      <c r="K34" s="1" t="s">
        <v>15</v>
      </c>
      <c r="L34" s="1" t="s">
        <v>60</v>
      </c>
      <c r="M34" s="1" t="s">
        <v>16</v>
      </c>
      <c r="N34" s="1" t="s">
        <v>33</v>
      </c>
      <c r="O34" s="1" t="s">
        <v>29</v>
      </c>
      <c r="P34" s="1" t="s">
        <v>29</v>
      </c>
      <c r="Q34" s="1" t="s">
        <v>19</v>
      </c>
      <c r="R34" s="1" t="s">
        <v>29</v>
      </c>
      <c r="S34" s="1" t="s">
        <v>29</v>
      </c>
      <c r="T34" s="1" t="s">
        <v>14</v>
      </c>
      <c r="U34" s="1" t="s">
        <v>47</v>
      </c>
      <c r="V34" s="1" t="s">
        <v>14</v>
      </c>
      <c r="W34" s="1" t="s">
        <v>59</v>
      </c>
      <c r="X34" s="1">
        <v>1.62</v>
      </c>
      <c r="Y34" s="1">
        <v>68</v>
      </c>
      <c r="Z34" s="3">
        <f t="shared" si="0"/>
        <v>25.910684346898332</v>
      </c>
      <c r="AA34" s="1">
        <v>41</v>
      </c>
      <c r="AB34" s="1">
        <v>35</v>
      </c>
      <c r="AC34" s="3">
        <f t="shared" si="1"/>
        <v>0.85365853658536583</v>
      </c>
      <c r="AD34" t="s">
        <v>402</v>
      </c>
      <c r="AE34">
        <v>80</v>
      </c>
      <c r="AF34">
        <v>16</v>
      </c>
      <c r="AG34">
        <v>37</v>
      </c>
      <c r="AH34">
        <v>12.7</v>
      </c>
    </row>
    <row r="35" spans="1:34" x14ac:dyDescent="0.25">
      <c r="A35" s="1">
        <v>33</v>
      </c>
      <c r="B35" s="1">
        <v>65</v>
      </c>
      <c r="C35" s="1" t="s">
        <v>11</v>
      </c>
      <c r="D35" s="1" t="s">
        <v>21</v>
      </c>
      <c r="E35" s="1" t="s">
        <v>36</v>
      </c>
      <c r="F35" s="1" t="s">
        <v>23</v>
      </c>
      <c r="G35" s="1">
        <v>1999</v>
      </c>
      <c r="H35" s="1">
        <v>15</v>
      </c>
      <c r="I35" s="1">
        <v>4</v>
      </c>
      <c r="J35" s="1" t="s">
        <v>14</v>
      </c>
      <c r="K35" s="1" t="s">
        <v>15</v>
      </c>
      <c r="L35" s="1" t="s">
        <v>60</v>
      </c>
      <c r="M35" s="63" t="s">
        <v>16</v>
      </c>
      <c r="N35" s="1" t="s">
        <v>33</v>
      </c>
      <c r="O35" s="1" t="s">
        <v>29</v>
      </c>
      <c r="P35" s="1" t="s">
        <v>29</v>
      </c>
      <c r="Q35" s="1" t="s">
        <v>14</v>
      </c>
      <c r="R35" s="1" t="s">
        <v>27</v>
      </c>
      <c r="S35" s="4" t="s">
        <v>61</v>
      </c>
      <c r="T35" s="1" t="s">
        <v>19</v>
      </c>
      <c r="U35" s="1" t="s">
        <v>29</v>
      </c>
      <c r="V35" s="1" t="s">
        <v>19</v>
      </c>
      <c r="W35" s="1" t="s">
        <v>29</v>
      </c>
      <c r="X35" s="1">
        <v>1.77</v>
      </c>
      <c r="Y35" s="1">
        <v>84</v>
      </c>
      <c r="Z35" s="3">
        <f t="shared" si="0"/>
        <v>26.812218711098343</v>
      </c>
      <c r="AA35" s="1">
        <v>108</v>
      </c>
      <c r="AB35" s="1">
        <v>104</v>
      </c>
      <c r="AC35" s="3">
        <f t="shared" si="1"/>
        <v>0.96296296296296291</v>
      </c>
      <c r="AD35" t="s">
        <v>403</v>
      </c>
      <c r="AE35">
        <v>67</v>
      </c>
      <c r="AF35">
        <v>18</v>
      </c>
      <c r="AG35">
        <v>36.4</v>
      </c>
      <c r="AH35">
        <v>9</v>
      </c>
    </row>
    <row r="36" spans="1:34" x14ac:dyDescent="0.25">
      <c r="A36" s="1">
        <v>34</v>
      </c>
      <c r="B36" s="1">
        <v>79</v>
      </c>
      <c r="C36" s="1" t="s">
        <v>32</v>
      </c>
      <c r="D36" s="1" t="s">
        <v>42</v>
      </c>
      <c r="E36" s="1" t="s">
        <v>37</v>
      </c>
      <c r="F36" s="1" t="s">
        <v>43</v>
      </c>
      <c r="G36" s="1">
        <v>2011</v>
      </c>
      <c r="H36" s="1">
        <v>3</v>
      </c>
      <c r="I36" s="1">
        <v>6</v>
      </c>
      <c r="J36" s="1" t="s">
        <v>14</v>
      </c>
      <c r="K36" s="1" t="s">
        <v>15</v>
      </c>
      <c r="L36" s="1" t="s">
        <v>16</v>
      </c>
      <c r="M36" s="1" t="s">
        <v>17</v>
      </c>
      <c r="N36" s="1" t="s">
        <v>33</v>
      </c>
      <c r="O36" s="1" t="s">
        <v>29</v>
      </c>
      <c r="P36" s="1" t="s">
        <v>29</v>
      </c>
      <c r="Q36" s="1" t="s">
        <v>19</v>
      </c>
      <c r="R36" s="1" t="s">
        <v>29</v>
      </c>
      <c r="S36" s="1" t="s">
        <v>29</v>
      </c>
      <c r="T36" s="1" t="s">
        <v>19</v>
      </c>
      <c r="U36" s="1" t="s">
        <v>29</v>
      </c>
      <c r="V36" s="1" t="s">
        <v>19</v>
      </c>
      <c r="W36" s="1" t="s">
        <v>29</v>
      </c>
      <c r="X36" s="1">
        <v>1.49</v>
      </c>
      <c r="Y36" s="1">
        <v>55</v>
      </c>
      <c r="Z36" s="3">
        <f t="shared" si="0"/>
        <v>24.773658844196209</v>
      </c>
      <c r="AA36" s="1">
        <v>40</v>
      </c>
      <c r="AB36" s="1">
        <v>31</v>
      </c>
      <c r="AC36" s="3">
        <f t="shared" si="1"/>
        <v>0.77500000000000002</v>
      </c>
      <c r="AD36" t="s">
        <v>184</v>
      </c>
      <c r="AE36">
        <v>78</v>
      </c>
      <c r="AF36">
        <v>16</v>
      </c>
      <c r="AG36">
        <v>36.799999999999997</v>
      </c>
      <c r="AH36">
        <v>5.3</v>
      </c>
    </row>
    <row r="37" spans="1:34" x14ac:dyDescent="0.25">
      <c r="A37" s="1">
        <v>35</v>
      </c>
      <c r="B37" s="1">
        <v>38</v>
      </c>
      <c r="C37" s="1" t="s">
        <v>32</v>
      </c>
      <c r="D37" s="1" t="s">
        <v>21</v>
      </c>
      <c r="E37" s="1" t="s">
        <v>22</v>
      </c>
      <c r="F37" s="1" t="s">
        <v>38</v>
      </c>
      <c r="G37" s="1">
        <v>2008</v>
      </c>
      <c r="H37" s="1">
        <v>6</v>
      </c>
      <c r="I37" s="1">
        <v>4</v>
      </c>
      <c r="J37" s="1" t="s">
        <v>19</v>
      </c>
      <c r="K37" s="1" t="s">
        <v>29</v>
      </c>
      <c r="L37" s="1" t="s">
        <v>16</v>
      </c>
      <c r="M37" s="1" t="s">
        <v>16</v>
      </c>
      <c r="N37" s="1" t="s">
        <v>33</v>
      </c>
      <c r="O37" s="1" t="s">
        <v>29</v>
      </c>
      <c r="P37" s="1" t="s">
        <v>29</v>
      </c>
      <c r="Q37" s="1" t="s">
        <v>19</v>
      </c>
      <c r="R37" s="1" t="s">
        <v>29</v>
      </c>
      <c r="S37" s="1" t="s">
        <v>29</v>
      </c>
      <c r="T37" s="1" t="s">
        <v>14</v>
      </c>
      <c r="U37" s="1" t="s">
        <v>53</v>
      </c>
      <c r="V37" s="1" t="s">
        <v>19</v>
      </c>
      <c r="W37" s="1" t="s">
        <v>29</v>
      </c>
      <c r="X37" s="1">
        <v>1.74</v>
      </c>
      <c r="Y37" s="1">
        <v>89</v>
      </c>
      <c r="Z37" s="3">
        <f t="shared" si="0"/>
        <v>29.396221429515126</v>
      </c>
      <c r="AA37" s="1">
        <v>119</v>
      </c>
      <c r="AB37" s="1">
        <v>109</v>
      </c>
      <c r="AC37" s="3">
        <f t="shared" si="1"/>
        <v>0.91596638655462181</v>
      </c>
      <c r="AD37" t="s">
        <v>363</v>
      </c>
      <c r="AE37">
        <v>89</v>
      </c>
      <c r="AF37">
        <v>20</v>
      </c>
      <c r="AG37">
        <v>37</v>
      </c>
      <c r="AH37">
        <v>7.4</v>
      </c>
    </row>
    <row r="38" spans="1:34" x14ac:dyDescent="0.25">
      <c r="A38" s="1">
        <v>36</v>
      </c>
      <c r="B38" s="1">
        <v>48</v>
      </c>
      <c r="C38" s="1" t="s">
        <v>62</v>
      </c>
      <c r="D38" s="1" t="s">
        <v>21</v>
      </c>
      <c r="E38" s="1" t="s">
        <v>22</v>
      </c>
      <c r="F38" s="1" t="s">
        <v>38</v>
      </c>
      <c r="G38" s="1">
        <v>2002</v>
      </c>
      <c r="H38" s="1">
        <v>12</v>
      </c>
      <c r="I38" s="1">
        <v>3</v>
      </c>
      <c r="J38" s="1" t="s">
        <v>14</v>
      </c>
      <c r="K38" s="1" t="s">
        <v>15</v>
      </c>
      <c r="L38" s="1" t="s">
        <v>16</v>
      </c>
      <c r="M38" s="1" t="s">
        <v>29</v>
      </c>
      <c r="N38" s="1" t="s">
        <v>33</v>
      </c>
      <c r="O38" s="1" t="s">
        <v>29</v>
      </c>
      <c r="P38" s="1" t="s">
        <v>29</v>
      </c>
      <c r="Q38" s="1" t="s">
        <v>19</v>
      </c>
      <c r="R38" s="1" t="s">
        <v>29</v>
      </c>
      <c r="S38" s="1" t="s">
        <v>29</v>
      </c>
      <c r="T38" s="1" t="s">
        <v>19</v>
      </c>
      <c r="U38" s="1" t="s">
        <v>29</v>
      </c>
      <c r="V38" s="1" t="s">
        <v>19</v>
      </c>
      <c r="W38" s="1" t="s">
        <v>29</v>
      </c>
      <c r="X38" s="1">
        <v>1.64</v>
      </c>
      <c r="Y38" s="1">
        <v>61</v>
      </c>
      <c r="Z38" s="3">
        <f t="shared" si="0"/>
        <v>22.679952409280194</v>
      </c>
      <c r="AA38" s="1">
        <v>40</v>
      </c>
      <c r="AB38" s="1">
        <v>36</v>
      </c>
      <c r="AC38" s="3">
        <f t="shared" si="1"/>
        <v>0.9</v>
      </c>
      <c r="AD38" t="s">
        <v>172</v>
      </c>
      <c r="AE38">
        <v>70</v>
      </c>
      <c r="AF38">
        <v>18</v>
      </c>
      <c r="AG38">
        <v>36.799999999999997</v>
      </c>
      <c r="AH38">
        <v>9.9</v>
      </c>
    </row>
    <row r="39" spans="1:34" x14ac:dyDescent="0.25">
      <c r="A39" s="1">
        <v>37</v>
      </c>
      <c r="B39" s="1">
        <v>51</v>
      </c>
      <c r="C39" s="1" t="s">
        <v>11</v>
      </c>
      <c r="D39" s="1" t="s">
        <v>21</v>
      </c>
      <c r="E39" s="1" t="s">
        <v>36</v>
      </c>
      <c r="F39" s="5" t="s">
        <v>50</v>
      </c>
      <c r="G39" s="1">
        <v>2010</v>
      </c>
      <c r="H39" s="1">
        <v>4</v>
      </c>
      <c r="I39" s="1">
        <v>4</v>
      </c>
      <c r="J39" s="1" t="s">
        <v>14</v>
      </c>
      <c r="K39" s="1" t="s">
        <v>15</v>
      </c>
      <c r="L39" s="1" t="s">
        <v>16</v>
      </c>
      <c r="M39" s="1" t="s">
        <v>16</v>
      </c>
      <c r="N39" s="1" t="s">
        <v>25</v>
      </c>
      <c r="O39" s="1" t="s">
        <v>26</v>
      </c>
      <c r="P39" s="1" t="s">
        <v>28</v>
      </c>
      <c r="Q39" s="1" t="s">
        <v>14</v>
      </c>
      <c r="R39" s="1" t="s">
        <v>27</v>
      </c>
      <c r="S39" s="5" t="s">
        <v>58</v>
      </c>
      <c r="T39" s="1" t="s">
        <v>14</v>
      </c>
      <c r="U39" s="1" t="s">
        <v>53</v>
      </c>
      <c r="V39" s="1" t="s">
        <v>14</v>
      </c>
      <c r="W39" s="1" t="s">
        <v>59</v>
      </c>
      <c r="X39" s="1">
        <v>1.75</v>
      </c>
      <c r="Y39" s="1">
        <v>103</v>
      </c>
      <c r="Z39" s="3">
        <f t="shared" si="0"/>
        <v>33.632653061224488</v>
      </c>
      <c r="AA39" s="1">
        <v>111</v>
      </c>
      <c r="AB39" s="1">
        <v>121</v>
      </c>
      <c r="AC39" s="3">
        <f t="shared" si="1"/>
        <v>1.0900900900900901</v>
      </c>
      <c r="AD39" t="s">
        <v>221</v>
      </c>
      <c r="AE39">
        <v>86</v>
      </c>
      <c r="AF39">
        <v>18</v>
      </c>
      <c r="AG39">
        <v>37.200000000000003</v>
      </c>
      <c r="AH39">
        <v>10.3</v>
      </c>
    </row>
    <row r="40" spans="1:34" x14ac:dyDescent="0.25">
      <c r="A40" s="1">
        <v>38</v>
      </c>
      <c r="B40" s="1">
        <v>33</v>
      </c>
      <c r="C40" s="1" t="s">
        <v>32</v>
      </c>
      <c r="D40" s="1" t="s">
        <v>21</v>
      </c>
      <c r="E40" s="1" t="s">
        <v>22</v>
      </c>
      <c r="F40" s="1" t="s">
        <v>38</v>
      </c>
      <c r="G40" s="1">
        <v>2008</v>
      </c>
      <c r="H40" s="1">
        <v>6</v>
      </c>
      <c r="I40" s="1">
        <v>5</v>
      </c>
      <c r="J40" s="1" t="s">
        <v>19</v>
      </c>
      <c r="K40" s="1" t="s">
        <v>29</v>
      </c>
      <c r="L40" s="1" t="s">
        <v>60</v>
      </c>
      <c r="M40" s="1" t="s">
        <v>29</v>
      </c>
      <c r="N40" s="1" t="s">
        <v>33</v>
      </c>
      <c r="O40" s="1" t="s">
        <v>29</v>
      </c>
      <c r="P40" s="1" t="s">
        <v>29</v>
      </c>
      <c r="Q40" s="1" t="s">
        <v>19</v>
      </c>
      <c r="R40" s="1" t="s">
        <v>29</v>
      </c>
      <c r="S40" s="1" t="s">
        <v>29</v>
      </c>
      <c r="T40" s="1" t="s">
        <v>14</v>
      </c>
      <c r="U40" s="1" t="s">
        <v>47</v>
      </c>
      <c r="V40" s="1" t="s">
        <v>14</v>
      </c>
      <c r="W40" s="1" t="s">
        <v>59</v>
      </c>
      <c r="X40" s="1">
        <v>1.67</v>
      </c>
      <c r="Y40" s="1">
        <v>72</v>
      </c>
      <c r="Z40" s="3">
        <f t="shared" si="0"/>
        <v>25.816630212628635</v>
      </c>
      <c r="AA40" s="1">
        <v>105</v>
      </c>
      <c r="AB40" s="1">
        <v>89</v>
      </c>
      <c r="AC40" s="3">
        <f t="shared" si="1"/>
        <v>0.84761904761904761</v>
      </c>
      <c r="AD40" t="s">
        <v>164</v>
      </c>
      <c r="AE40">
        <v>80</v>
      </c>
      <c r="AF40">
        <v>16</v>
      </c>
      <c r="AG40">
        <v>36.799999999999997</v>
      </c>
      <c r="AH40">
        <v>21</v>
      </c>
    </row>
    <row r="41" spans="1:34" x14ac:dyDescent="0.25">
      <c r="A41" s="1">
        <v>39</v>
      </c>
      <c r="B41" s="1">
        <v>68</v>
      </c>
      <c r="C41" s="1" t="s">
        <v>32</v>
      </c>
      <c r="D41" s="1" t="s">
        <v>42</v>
      </c>
      <c r="E41" s="1" t="s">
        <v>22</v>
      </c>
      <c r="F41" s="1" t="s">
        <v>43</v>
      </c>
      <c r="G41" s="1">
        <v>2005</v>
      </c>
      <c r="H41" s="1">
        <v>9</v>
      </c>
      <c r="I41" s="1">
        <v>4</v>
      </c>
      <c r="J41" s="1" t="s">
        <v>14</v>
      </c>
      <c r="K41" s="1" t="s">
        <v>15</v>
      </c>
      <c r="L41" s="1" t="s">
        <v>18</v>
      </c>
      <c r="M41" s="1" t="s">
        <v>12</v>
      </c>
      <c r="N41" s="1" t="s">
        <v>33</v>
      </c>
      <c r="O41" s="1" t="s">
        <v>29</v>
      </c>
      <c r="P41" s="1" t="s">
        <v>29</v>
      </c>
      <c r="Q41" s="1" t="s">
        <v>19</v>
      </c>
      <c r="R41" s="1" t="s">
        <v>29</v>
      </c>
      <c r="S41" s="1" t="s">
        <v>29</v>
      </c>
      <c r="T41" s="1" t="s">
        <v>14</v>
      </c>
      <c r="U41" s="1" t="s">
        <v>63</v>
      </c>
      <c r="V41" s="1" t="s">
        <v>14</v>
      </c>
      <c r="W41" s="1" t="s">
        <v>59</v>
      </c>
      <c r="X41" s="1">
        <v>1.68</v>
      </c>
      <c r="Y41" s="1">
        <v>93</v>
      </c>
      <c r="Z41" s="3">
        <f t="shared" si="0"/>
        <v>32.950680272108848</v>
      </c>
      <c r="AA41" s="1">
        <v>48</v>
      </c>
      <c r="AB41" s="1">
        <v>39</v>
      </c>
      <c r="AC41" s="3">
        <f t="shared" si="1"/>
        <v>0.8125</v>
      </c>
      <c r="AD41" t="s">
        <v>404</v>
      </c>
      <c r="AE41">
        <v>76</v>
      </c>
      <c r="AF41">
        <v>20</v>
      </c>
      <c r="AG41">
        <v>37.200000000000003</v>
      </c>
      <c r="AH41">
        <v>7</v>
      </c>
    </row>
    <row r="42" spans="1:34" x14ac:dyDescent="0.25">
      <c r="A42" s="1">
        <v>40</v>
      </c>
      <c r="B42" s="1">
        <v>43</v>
      </c>
      <c r="C42" s="1" t="s">
        <v>11</v>
      </c>
      <c r="D42" s="1" t="s">
        <v>21</v>
      </c>
      <c r="E42" s="1" t="s">
        <v>36</v>
      </c>
      <c r="F42" s="1" t="s">
        <v>38</v>
      </c>
      <c r="G42" s="1">
        <v>2012</v>
      </c>
      <c r="H42" s="1">
        <v>2</v>
      </c>
      <c r="I42" s="1">
        <v>4</v>
      </c>
      <c r="J42" s="1" t="s">
        <v>14</v>
      </c>
      <c r="K42" s="1" t="s">
        <v>15</v>
      </c>
      <c r="L42" s="1" t="s">
        <v>16</v>
      </c>
      <c r="M42" s="1" t="s">
        <v>17</v>
      </c>
      <c r="N42" s="1" t="s">
        <v>33</v>
      </c>
      <c r="O42" s="1" t="s">
        <v>29</v>
      </c>
      <c r="P42" s="1" t="s">
        <v>29</v>
      </c>
      <c r="Q42" s="1" t="s">
        <v>19</v>
      </c>
      <c r="R42" s="1" t="s">
        <v>29</v>
      </c>
      <c r="S42" s="1" t="s">
        <v>29</v>
      </c>
      <c r="T42" s="1" t="s">
        <v>14</v>
      </c>
      <c r="U42" s="1" t="s">
        <v>64</v>
      </c>
      <c r="V42" s="1" t="s">
        <v>19</v>
      </c>
      <c r="W42" s="1" t="s">
        <v>29</v>
      </c>
      <c r="X42" s="1">
        <v>1.75</v>
      </c>
      <c r="Y42" s="1">
        <v>77</v>
      </c>
      <c r="Z42" s="3">
        <f t="shared" si="0"/>
        <v>25.142857142857142</v>
      </c>
      <c r="AA42" s="1">
        <v>100</v>
      </c>
      <c r="AB42" s="1">
        <v>93</v>
      </c>
      <c r="AC42" s="3">
        <f t="shared" si="1"/>
        <v>0.93</v>
      </c>
      <c r="AD42" t="s">
        <v>172</v>
      </c>
      <c r="AE42">
        <v>80</v>
      </c>
      <c r="AF42">
        <v>22</v>
      </c>
      <c r="AG42">
        <v>37.299999999999997</v>
      </c>
      <c r="AH42">
        <v>5.8</v>
      </c>
    </row>
    <row r="43" spans="1:34" x14ac:dyDescent="0.25">
      <c r="A43" s="1">
        <v>41</v>
      </c>
      <c r="B43" s="1">
        <v>78</v>
      </c>
      <c r="C43" s="1" t="s">
        <v>32</v>
      </c>
      <c r="D43" s="1" t="s">
        <v>42</v>
      </c>
      <c r="E43" s="1" t="s">
        <v>37</v>
      </c>
      <c r="F43" s="1" t="s">
        <v>38</v>
      </c>
      <c r="G43" s="1">
        <v>1994</v>
      </c>
      <c r="H43" s="1">
        <v>20</v>
      </c>
      <c r="I43" s="1">
        <v>5</v>
      </c>
      <c r="J43" s="1" t="s">
        <v>14</v>
      </c>
      <c r="K43" s="1" t="s">
        <v>15</v>
      </c>
      <c r="L43" s="1" t="s">
        <v>16</v>
      </c>
      <c r="M43" s="1" t="s">
        <v>17</v>
      </c>
      <c r="N43" s="1" t="s">
        <v>33</v>
      </c>
      <c r="O43" s="1" t="s">
        <v>29</v>
      </c>
      <c r="P43" s="1" t="s">
        <v>29</v>
      </c>
      <c r="Q43" s="1" t="s">
        <v>19</v>
      </c>
      <c r="R43" s="1" t="s">
        <v>29</v>
      </c>
      <c r="S43" s="1" t="s">
        <v>29</v>
      </c>
      <c r="T43" s="1" t="s">
        <v>14</v>
      </c>
      <c r="U43" s="1" t="s">
        <v>49</v>
      </c>
      <c r="V43" s="1" t="s">
        <v>14</v>
      </c>
      <c r="W43" s="1" t="s">
        <v>59</v>
      </c>
      <c r="X43" s="1">
        <v>1.5</v>
      </c>
      <c r="Y43" s="1">
        <v>70</v>
      </c>
      <c r="Z43" s="3">
        <f t="shared" si="0"/>
        <v>31.111111111111111</v>
      </c>
      <c r="AA43" s="1">
        <v>40</v>
      </c>
      <c r="AB43" s="1">
        <v>43</v>
      </c>
      <c r="AC43" s="3">
        <f t="shared" si="1"/>
        <v>1.075</v>
      </c>
      <c r="AD43" t="s">
        <v>184</v>
      </c>
      <c r="AE43">
        <v>74</v>
      </c>
      <c r="AF43">
        <v>18</v>
      </c>
      <c r="AG43">
        <v>36.799999999999997</v>
      </c>
      <c r="AH43">
        <v>7.3</v>
      </c>
    </row>
    <row r="44" spans="1:34" x14ac:dyDescent="0.25">
      <c r="A44" s="1">
        <v>42</v>
      </c>
      <c r="B44" s="1">
        <v>64</v>
      </c>
      <c r="C44" s="1" t="s">
        <v>32</v>
      </c>
      <c r="D44" s="1" t="s">
        <v>21</v>
      </c>
      <c r="E44" s="1" t="s">
        <v>22</v>
      </c>
      <c r="F44" s="1" t="s">
        <v>38</v>
      </c>
      <c r="G44" s="1">
        <v>2007</v>
      </c>
      <c r="H44" s="1">
        <v>7</v>
      </c>
      <c r="I44" s="1">
        <v>4</v>
      </c>
      <c r="J44" s="1" t="s">
        <v>14</v>
      </c>
      <c r="K44" s="1" t="s">
        <v>15</v>
      </c>
      <c r="L44" s="1" t="s">
        <v>16</v>
      </c>
      <c r="M44" s="1" t="s">
        <v>17</v>
      </c>
      <c r="N44" s="1" t="s">
        <v>33</v>
      </c>
      <c r="O44" s="1" t="s">
        <v>29</v>
      </c>
      <c r="P44" s="1" t="s">
        <v>29</v>
      </c>
      <c r="Q44" s="1" t="s">
        <v>19</v>
      </c>
      <c r="R44" s="1" t="s">
        <v>29</v>
      </c>
      <c r="S44" s="1" t="s">
        <v>29</v>
      </c>
      <c r="T44" s="1" t="s">
        <v>19</v>
      </c>
      <c r="U44" s="1" t="s">
        <v>29</v>
      </c>
      <c r="V44" s="1" t="s">
        <v>14</v>
      </c>
      <c r="W44" s="1" t="s">
        <v>49</v>
      </c>
      <c r="X44" s="1">
        <v>1.57</v>
      </c>
      <c r="Y44" s="1">
        <v>55</v>
      </c>
      <c r="Z44" s="3">
        <f t="shared" si="0"/>
        <v>22.313278429145196</v>
      </c>
      <c r="AA44" s="1">
        <v>38</v>
      </c>
      <c r="AB44" s="1">
        <v>33</v>
      </c>
      <c r="AC44" s="3">
        <f t="shared" si="1"/>
        <v>0.86842105263157898</v>
      </c>
      <c r="AD44" t="s">
        <v>190</v>
      </c>
      <c r="AE44">
        <v>110</v>
      </c>
      <c r="AF44">
        <v>20</v>
      </c>
      <c r="AG44">
        <v>37</v>
      </c>
      <c r="AH44">
        <v>8.3000000000000007</v>
      </c>
    </row>
    <row r="45" spans="1:34" x14ac:dyDescent="0.25">
      <c r="A45" s="1">
        <v>43</v>
      </c>
      <c r="B45" s="1">
        <v>62</v>
      </c>
      <c r="C45" s="1" t="s">
        <v>32</v>
      </c>
      <c r="D45" s="1" t="s">
        <v>35</v>
      </c>
      <c r="E45" s="1" t="s">
        <v>22</v>
      </c>
      <c r="F45" s="1" t="s">
        <v>38</v>
      </c>
      <c r="G45" s="1">
        <v>2013</v>
      </c>
      <c r="H45" s="1">
        <v>1</v>
      </c>
      <c r="I45" s="1">
        <v>4</v>
      </c>
      <c r="J45" s="1" t="s">
        <v>14</v>
      </c>
      <c r="K45" s="1" t="s">
        <v>15</v>
      </c>
      <c r="L45" s="1" t="s">
        <v>16</v>
      </c>
      <c r="M45" s="1" t="s">
        <v>16</v>
      </c>
      <c r="N45" s="1" t="s">
        <v>33</v>
      </c>
      <c r="O45" s="1" t="s">
        <v>29</v>
      </c>
      <c r="P45" s="1" t="s">
        <v>29</v>
      </c>
      <c r="Q45" s="1" t="s">
        <v>19</v>
      </c>
      <c r="R45" s="1" t="s">
        <v>29</v>
      </c>
      <c r="S45" s="1" t="s">
        <v>29</v>
      </c>
      <c r="T45" s="1" t="s">
        <v>14</v>
      </c>
      <c r="U45" s="1" t="s">
        <v>53</v>
      </c>
      <c r="V45" s="1" t="s">
        <v>19</v>
      </c>
      <c r="W45" s="1" t="s">
        <v>29</v>
      </c>
      <c r="X45" s="1">
        <v>1.6</v>
      </c>
      <c r="Y45" s="1">
        <v>71</v>
      </c>
      <c r="Z45" s="3">
        <f t="shared" si="0"/>
        <v>27.734374999999993</v>
      </c>
      <c r="AA45" s="1">
        <v>112</v>
      </c>
      <c r="AB45" s="1">
        <v>91</v>
      </c>
      <c r="AC45" s="3">
        <f t="shared" si="1"/>
        <v>0.8125</v>
      </c>
      <c r="AD45" t="s">
        <v>207</v>
      </c>
      <c r="AE45">
        <v>70</v>
      </c>
      <c r="AF45">
        <v>16</v>
      </c>
      <c r="AG45">
        <v>37</v>
      </c>
      <c r="AH45">
        <v>5.9</v>
      </c>
    </row>
    <row r="46" spans="1:34" x14ac:dyDescent="0.25">
      <c r="A46" s="1">
        <v>44</v>
      </c>
      <c r="B46" s="1">
        <v>70</v>
      </c>
      <c r="C46" s="1" t="s">
        <v>32</v>
      </c>
      <c r="D46" s="1" t="s">
        <v>42</v>
      </c>
      <c r="E46" s="1" t="s">
        <v>37</v>
      </c>
      <c r="F46" s="1" t="s">
        <v>38</v>
      </c>
      <c r="G46" s="1">
        <v>1985</v>
      </c>
      <c r="H46" s="1">
        <v>29</v>
      </c>
      <c r="I46" s="1">
        <v>4</v>
      </c>
      <c r="J46" s="1" t="s">
        <v>14</v>
      </c>
      <c r="K46" s="1" t="s">
        <v>15</v>
      </c>
      <c r="L46" s="1" t="s">
        <v>16</v>
      </c>
      <c r="M46" s="1" t="s">
        <v>29</v>
      </c>
      <c r="N46" s="1" t="s">
        <v>33</v>
      </c>
      <c r="O46" s="1" t="s">
        <v>29</v>
      </c>
      <c r="P46" s="1" t="s">
        <v>29</v>
      </c>
      <c r="Q46" s="1" t="s">
        <v>19</v>
      </c>
      <c r="R46" s="1" t="s">
        <v>29</v>
      </c>
      <c r="S46" s="1" t="s">
        <v>29</v>
      </c>
      <c r="T46" s="1" t="s">
        <v>19</v>
      </c>
      <c r="U46" s="1" t="s">
        <v>29</v>
      </c>
      <c r="V46" s="1" t="s">
        <v>19</v>
      </c>
      <c r="W46" s="1" t="s">
        <v>29</v>
      </c>
      <c r="X46" s="1">
        <v>1.6</v>
      </c>
      <c r="Y46" s="1">
        <v>50</v>
      </c>
      <c r="Z46" s="3">
        <f t="shared" si="0"/>
        <v>19.531249999999996</v>
      </c>
      <c r="AA46" s="1">
        <v>38</v>
      </c>
      <c r="AB46" s="1">
        <v>33</v>
      </c>
      <c r="AC46" s="3">
        <f t="shared" si="1"/>
        <v>0.86842105263157898</v>
      </c>
      <c r="AD46" t="s">
        <v>163</v>
      </c>
      <c r="AE46">
        <v>80</v>
      </c>
      <c r="AF46">
        <v>20</v>
      </c>
      <c r="AG46">
        <v>37.200000000000003</v>
      </c>
      <c r="AH46">
        <v>11.8</v>
      </c>
    </row>
    <row r="47" spans="1:34" x14ac:dyDescent="0.25">
      <c r="A47" s="1">
        <v>45</v>
      </c>
      <c r="B47" s="1">
        <v>76</v>
      </c>
      <c r="C47" s="1" t="s">
        <v>11</v>
      </c>
      <c r="D47" s="1" t="s">
        <v>21</v>
      </c>
      <c r="E47" s="1" t="s">
        <v>22</v>
      </c>
      <c r="F47" s="1" t="s">
        <v>23</v>
      </c>
      <c r="G47" s="1">
        <v>2011</v>
      </c>
      <c r="H47" s="1">
        <v>3</v>
      </c>
      <c r="I47" s="1">
        <v>4</v>
      </c>
      <c r="J47" s="1" t="s">
        <v>14</v>
      </c>
      <c r="K47" s="1" t="s">
        <v>15</v>
      </c>
      <c r="L47" s="1" t="s">
        <v>16</v>
      </c>
      <c r="M47" s="1" t="s">
        <v>29</v>
      </c>
      <c r="N47" s="1" t="s">
        <v>25</v>
      </c>
      <c r="O47" s="1" t="s">
        <v>26</v>
      </c>
      <c r="P47" s="1" t="s">
        <v>28</v>
      </c>
      <c r="Q47" s="1" t="s">
        <v>14</v>
      </c>
      <c r="R47" s="5" t="s">
        <v>58</v>
      </c>
      <c r="S47" s="5" t="s">
        <v>58</v>
      </c>
      <c r="T47" s="1" t="s">
        <v>19</v>
      </c>
      <c r="U47" s="1" t="s">
        <v>29</v>
      </c>
      <c r="V47" s="1" t="s">
        <v>14</v>
      </c>
      <c r="W47" s="1" t="s">
        <v>41</v>
      </c>
      <c r="X47" s="1">
        <v>1.7</v>
      </c>
      <c r="Y47" s="1">
        <v>76</v>
      </c>
      <c r="Z47" s="3">
        <f t="shared" si="0"/>
        <v>26.297577854671282</v>
      </c>
      <c r="AA47" s="1">
        <v>108</v>
      </c>
      <c r="AB47" s="1">
        <v>96</v>
      </c>
      <c r="AC47" s="3">
        <f t="shared" si="1"/>
        <v>0.88888888888888884</v>
      </c>
      <c r="AD47" t="s">
        <v>164</v>
      </c>
      <c r="AE47">
        <v>76</v>
      </c>
      <c r="AF47">
        <v>20</v>
      </c>
      <c r="AG47">
        <v>36.799999999999997</v>
      </c>
    </row>
    <row r="48" spans="1:34" x14ac:dyDescent="0.25">
      <c r="A48" s="1">
        <v>46</v>
      </c>
      <c r="B48" s="1">
        <v>75</v>
      </c>
      <c r="C48" s="1" t="s">
        <v>32</v>
      </c>
      <c r="D48" s="1" t="s">
        <v>21</v>
      </c>
      <c r="E48" s="1" t="s">
        <v>37</v>
      </c>
      <c r="F48" s="1" t="s">
        <v>38</v>
      </c>
      <c r="G48" s="1">
        <v>2010</v>
      </c>
      <c r="H48" s="1">
        <v>4</v>
      </c>
      <c r="I48" s="1">
        <v>3</v>
      </c>
      <c r="J48" s="1" t="s">
        <v>14</v>
      </c>
      <c r="K48" s="1" t="s">
        <v>15</v>
      </c>
      <c r="L48" s="1" t="s">
        <v>16</v>
      </c>
      <c r="M48" s="1" t="s">
        <v>16</v>
      </c>
      <c r="N48" s="1" t="s">
        <v>33</v>
      </c>
      <c r="O48" s="1" t="s">
        <v>29</v>
      </c>
      <c r="P48" s="1" t="s">
        <v>29</v>
      </c>
      <c r="Q48" s="1" t="s">
        <v>19</v>
      </c>
      <c r="R48" s="1" t="s">
        <v>29</v>
      </c>
      <c r="S48" s="1" t="s">
        <v>29</v>
      </c>
      <c r="T48" s="1" t="s">
        <v>19</v>
      </c>
      <c r="U48" s="1" t="s">
        <v>29</v>
      </c>
      <c r="V48" s="1" t="s">
        <v>19</v>
      </c>
      <c r="W48" s="1" t="s">
        <v>29</v>
      </c>
      <c r="X48" s="1">
        <v>1.6</v>
      </c>
      <c r="Y48" s="1">
        <v>110</v>
      </c>
      <c r="Z48" s="3">
        <f t="shared" si="0"/>
        <v>42.968749999999993</v>
      </c>
      <c r="AA48" s="1">
        <v>138</v>
      </c>
      <c r="AB48" s="1">
        <v>125</v>
      </c>
      <c r="AC48" s="3">
        <f t="shared" si="1"/>
        <v>0.90579710144927539</v>
      </c>
      <c r="AD48" t="s">
        <v>165</v>
      </c>
      <c r="AE48">
        <v>70</v>
      </c>
      <c r="AF48">
        <v>20</v>
      </c>
      <c r="AG48">
        <v>37.200000000000003</v>
      </c>
      <c r="AH48">
        <v>10.3</v>
      </c>
    </row>
    <row r="49" spans="1:34" x14ac:dyDescent="0.25">
      <c r="A49" s="1">
        <v>47</v>
      </c>
      <c r="B49" s="1">
        <v>25</v>
      </c>
      <c r="C49" s="1" t="s">
        <v>32</v>
      </c>
      <c r="D49" s="1" t="s">
        <v>35</v>
      </c>
      <c r="E49" s="1" t="s">
        <v>34</v>
      </c>
      <c r="F49" s="1" t="s">
        <v>43</v>
      </c>
      <c r="G49" s="1">
        <v>1997</v>
      </c>
      <c r="H49" s="1">
        <v>17</v>
      </c>
      <c r="I49" s="1">
        <v>4</v>
      </c>
      <c r="J49" s="1" t="s">
        <v>14</v>
      </c>
      <c r="K49" s="1" t="s">
        <v>65</v>
      </c>
      <c r="L49" s="1" t="s">
        <v>18</v>
      </c>
      <c r="M49" s="1" t="s">
        <v>29</v>
      </c>
      <c r="N49" s="1" t="s">
        <v>33</v>
      </c>
      <c r="O49" s="1" t="s">
        <v>29</v>
      </c>
      <c r="P49" s="1" t="s">
        <v>29</v>
      </c>
      <c r="Q49" s="1" t="s">
        <v>19</v>
      </c>
      <c r="R49" s="1" t="s">
        <v>29</v>
      </c>
      <c r="S49" s="1" t="s">
        <v>29</v>
      </c>
      <c r="T49" s="1" t="s">
        <v>19</v>
      </c>
      <c r="U49" s="1" t="s">
        <v>29</v>
      </c>
      <c r="V49" s="1" t="s">
        <v>19</v>
      </c>
      <c r="W49" s="1" t="s">
        <v>29</v>
      </c>
      <c r="X49" s="1">
        <v>1.68</v>
      </c>
      <c r="Y49" s="1">
        <v>68</v>
      </c>
      <c r="Z49" s="3">
        <f t="shared" si="0"/>
        <v>24.092970521541954</v>
      </c>
      <c r="AA49" s="1">
        <v>103</v>
      </c>
      <c r="AB49" s="1">
        <v>83</v>
      </c>
      <c r="AC49" s="3">
        <f t="shared" si="1"/>
        <v>0.80582524271844658</v>
      </c>
      <c r="AD49" t="s">
        <v>166</v>
      </c>
      <c r="AE49">
        <v>70</v>
      </c>
      <c r="AF49">
        <v>18</v>
      </c>
      <c r="AG49">
        <v>37.1</v>
      </c>
      <c r="AH49">
        <v>2.6</v>
      </c>
    </row>
    <row r="50" spans="1:34" x14ac:dyDescent="0.25">
      <c r="A50" s="1">
        <v>48</v>
      </c>
      <c r="B50" s="1">
        <v>68</v>
      </c>
      <c r="C50" s="1" t="s">
        <v>32</v>
      </c>
      <c r="D50" s="1" t="s">
        <v>21</v>
      </c>
      <c r="E50" s="1" t="s">
        <v>22</v>
      </c>
      <c r="F50" s="1" t="s">
        <v>38</v>
      </c>
      <c r="G50" s="1">
        <v>2007</v>
      </c>
      <c r="H50" s="1">
        <v>7</v>
      </c>
      <c r="I50" s="1">
        <v>4</v>
      </c>
      <c r="J50" s="1" t="s">
        <v>14</v>
      </c>
      <c r="K50" s="1" t="s">
        <v>66</v>
      </c>
      <c r="L50" s="1" t="s">
        <v>16</v>
      </c>
      <c r="M50" s="1" t="s">
        <v>16</v>
      </c>
      <c r="N50" s="1" t="s">
        <v>33</v>
      </c>
      <c r="O50" s="1" t="s">
        <v>29</v>
      </c>
      <c r="P50" s="1" t="s">
        <v>29</v>
      </c>
      <c r="Q50" s="1" t="s">
        <v>19</v>
      </c>
      <c r="R50" s="1" t="s">
        <v>29</v>
      </c>
      <c r="S50" s="1" t="s">
        <v>29</v>
      </c>
      <c r="T50" s="1" t="s">
        <v>19</v>
      </c>
      <c r="U50" s="1" t="s">
        <v>29</v>
      </c>
      <c r="V50" s="1" t="s">
        <v>19</v>
      </c>
      <c r="W50" s="1" t="s">
        <v>29</v>
      </c>
      <c r="X50" s="1">
        <v>1.56</v>
      </c>
      <c r="Y50" s="1">
        <v>76</v>
      </c>
      <c r="Z50" s="3">
        <f t="shared" si="0"/>
        <v>31.229454306377381</v>
      </c>
      <c r="AA50" s="1">
        <v>46</v>
      </c>
      <c r="AB50" s="1">
        <v>42</v>
      </c>
      <c r="AC50" s="3">
        <f t="shared" si="1"/>
        <v>0.91304347826086951</v>
      </c>
      <c r="AD50" t="s">
        <v>167</v>
      </c>
      <c r="AE50">
        <v>68</v>
      </c>
      <c r="AF50">
        <v>16</v>
      </c>
      <c r="AG50">
        <v>37.200000000000003</v>
      </c>
      <c r="AH50">
        <v>16.8</v>
      </c>
    </row>
    <row r="51" spans="1:34" x14ac:dyDescent="0.25">
      <c r="A51" s="1">
        <v>49</v>
      </c>
      <c r="B51" s="1">
        <v>58</v>
      </c>
      <c r="C51" s="1" t="s">
        <v>32</v>
      </c>
      <c r="D51" s="1" t="s">
        <v>21</v>
      </c>
      <c r="E51" s="1" t="s">
        <v>22</v>
      </c>
      <c r="F51" s="1" t="s">
        <v>38</v>
      </c>
      <c r="G51" s="1">
        <v>2011</v>
      </c>
      <c r="H51" s="1">
        <v>3</v>
      </c>
      <c r="I51" s="1">
        <v>3</v>
      </c>
      <c r="J51" s="1" t="s">
        <v>14</v>
      </c>
      <c r="K51" s="1" t="s">
        <v>15</v>
      </c>
      <c r="L51" s="1" t="s">
        <v>16</v>
      </c>
      <c r="M51" s="1" t="s">
        <v>16</v>
      </c>
      <c r="N51" s="1" t="s">
        <v>33</v>
      </c>
      <c r="O51" s="1" t="s">
        <v>29</v>
      </c>
      <c r="P51" s="1" t="s">
        <v>29</v>
      </c>
      <c r="Q51" s="1" t="s">
        <v>19</v>
      </c>
      <c r="R51" s="1" t="s">
        <v>29</v>
      </c>
      <c r="S51" s="1" t="s">
        <v>29</v>
      </c>
      <c r="T51" s="1" t="s">
        <v>19</v>
      </c>
      <c r="U51" s="1" t="s">
        <v>29</v>
      </c>
      <c r="V51" s="1" t="s">
        <v>19</v>
      </c>
      <c r="W51" s="1" t="s">
        <v>29</v>
      </c>
      <c r="X51" s="1">
        <v>1.6</v>
      </c>
      <c r="Y51" s="1">
        <v>64</v>
      </c>
      <c r="Z51" s="3">
        <f t="shared" si="0"/>
        <v>24.999999999999996</v>
      </c>
      <c r="AA51" s="1">
        <v>102</v>
      </c>
      <c r="AB51" s="1">
        <v>100</v>
      </c>
      <c r="AC51" s="3">
        <f t="shared" si="1"/>
        <v>0.98039215686274506</v>
      </c>
      <c r="AD51" t="s">
        <v>168</v>
      </c>
      <c r="AE51">
        <v>66</v>
      </c>
      <c r="AF51">
        <v>18</v>
      </c>
      <c r="AG51">
        <v>36.799999999999997</v>
      </c>
      <c r="AH51">
        <v>8.1999999999999993</v>
      </c>
    </row>
    <row r="52" spans="1:34" x14ac:dyDescent="0.25">
      <c r="A52" s="1">
        <v>50</v>
      </c>
      <c r="B52" s="1">
        <v>76</v>
      </c>
      <c r="C52" s="1" t="s">
        <v>11</v>
      </c>
      <c r="D52" s="1" t="s">
        <v>42</v>
      </c>
      <c r="E52" s="1" t="s">
        <v>22</v>
      </c>
      <c r="F52" s="1" t="s">
        <v>23</v>
      </c>
      <c r="G52" s="1">
        <v>2006</v>
      </c>
      <c r="H52" s="1">
        <v>8</v>
      </c>
      <c r="I52" s="1">
        <v>4</v>
      </c>
      <c r="J52" s="1" t="s">
        <v>19</v>
      </c>
      <c r="K52" s="1" t="s">
        <v>29</v>
      </c>
      <c r="L52" s="1" t="s">
        <v>16</v>
      </c>
      <c r="M52" s="1" t="s">
        <v>29</v>
      </c>
      <c r="N52" s="1" t="s">
        <v>33</v>
      </c>
      <c r="O52" s="1" t="s">
        <v>29</v>
      </c>
      <c r="P52" s="1" t="s">
        <v>29</v>
      </c>
      <c r="Q52" s="1" t="s">
        <v>14</v>
      </c>
      <c r="R52" s="1" t="s">
        <v>30</v>
      </c>
      <c r="S52" s="1" t="s">
        <v>30</v>
      </c>
      <c r="T52" s="1" t="s">
        <v>19</v>
      </c>
      <c r="U52" s="1" t="s">
        <v>29</v>
      </c>
      <c r="V52" s="1" t="s">
        <v>19</v>
      </c>
      <c r="W52" s="1" t="s">
        <v>29</v>
      </c>
      <c r="X52" s="1">
        <v>1.76</v>
      </c>
      <c r="Y52" s="1">
        <v>65</v>
      </c>
      <c r="Z52" s="3">
        <f t="shared" si="0"/>
        <v>20.983987603305785</v>
      </c>
      <c r="AA52" s="1">
        <v>97</v>
      </c>
      <c r="AB52" s="1">
        <v>92</v>
      </c>
      <c r="AC52" s="3">
        <f t="shared" si="1"/>
        <v>0.94845360824742264</v>
      </c>
      <c r="AD52" t="s">
        <v>169</v>
      </c>
      <c r="AE52">
        <v>72</v>
      </c>
      <c r="AF52">
        <v>16</v>
      </c>
      <c r="AG52">
        <v>37</v>
      </c>
      <c r="AH52">
        <v>5.4</v>
      </c>
    </row>
    <row r="53" spans="1:34" x14ac:dyDescent="0.25">
      <c r="A53" s="1">
        <v>51</v>
      </c>
      <c r="B53" s="1">
        <v>64</v>
      </c>
      <c r="C53" s="1" t="s">
        <v>32</v>
      </c>
      <c r="D53" s="1" t="s">
        <v>21</v>
      </c>
      <c r="E53" s="1" t="s">
        <v>22</v>
      </c>
      <c r="F53" s="1" t="s">
        <v>38</v>
      </c>
      <c r="G53" s="1">
        <v>2014</v>
      </c>
      <c r="H53" s="1">
        <v>1</v>
      </c>
      <c r="I53" s="1">
        <v>4</v>
      </c>
      <c r="J53" s="1" t="s">
        <v>14</v>
      </c>
      <c r="K53" s="1" t="s">
        <v>15</v>
      </c>
      <c r="L53" s="1" t="s">
        <v>16</v>
      </c>
      <c r="M53" s="1" t="s">
        <v>17</v>
      </c>
      <c r="N53" s="1" t="s">
        <v>33</v>
      </c>
      <c r="O53" s="1" t="s">
        <v>29</v>
      </c>
      <c r="P53" s="1" t="s">
        <v>29</v>
      </c>
      <c r="Q53" s="1" t="s">
        <v>19</v>
      </c>
      <c r="R53" s="1" t="s">
        <v>29</v>
      </c>
      <c r="S53" s="1" t="s">
        <v>29</v>
      </c>
      <c r="T53" s="1" t="s">
        <v>19</v>
      </c>
      <c r="U53" s="1" t="s">
        <v>29</v>
      </c>
      <c r="V53" s="1" t="s">
        <v>19</v>
      </c>
      <c r="W53" s="1" t="s">
        <v>29</v>
      </c>
      <c r="X53" s="1">
        <v>1.52</v>
      </c>
      <c r="Y53" s="1">
        <v>75</v>
      </c>
      <c r="Z53" s="3">
        <f t="shared" si="0"/>
        <v>32.461911357340718</v>
      </c>
      <c r="AA53" s="1">
        <v>95</v>
      </c>
      <c r="AB53" s="1">
        <v>93</v>
      </c>
      <c r="AC53" s="3">
        <f t="shared" si="1"/>
        <v>0.97894736842105268</v>
      </c>
      <c r="AD53" t="s">
        <v>170</v>
      </c>
      <c r="AE53">
        <v>80</v>
      </c>
      <c r="AF53">
        <v>20</v>
      </c>
      <c r="AG53">
        <v>37.1</v>
      </c>
    </row>
    <row r="54" spans="1:34" x14ac:dyDescent="0.25">
      <c r="A54" s="1">
        <v>52</v>
      </c>
      <c r="B54" s="1">
        <v>89</v>
      </c>
      <c r="C54" s="1" t="s">
        <v>32</v>
      </c>
      <c r="D54" s="1" t="s">
        <v>42</v>
      </c>
      <c r="E54" s="1" t="s">
        <v>22</v>
      </c>
      <c r="F54" s="1" t="s">
        <v>38</v>
      </c>
      <c r="G54" s="1">
        <v>1999</v>
      </c>
      <c r="H54" s="1">
        <v>15</v>
      </c>
      <c r="I54" s="1">
        <v>3</v>
      </c>
      <c r="J54" s="1" t="s">
        <v>67</v>
      </c>
      <c r="K54" s="1" t="s">
        <v>15</v>
      </c>
      <c r="L54" s="1" t="s">
        <v>16</v>
      </c>
      <c r="M54" s="1" t="s">
        <v>29</v>
      </c>
      <c r="N54" s="1" t="s">
        <v>33</v>
      </c>
      <c r="O54" s="1" t="s">
        <v>29</v>
      </c>
      <c r="P54" s="1" t="s">
        <v>29</v>
      </c>
      <c r="Q54" s="1" t="s">
        <v>19</v>
      </c>
      <c r="R54" s="1" t="s">
        <v>29</v>
      </c>
      <c r="S54" s="1" t="s">
        <v>29</v>
      </c>
      <c r="T54" s="1" t="s">
        <v>19</v>
      </c>
      <c r="U54" s="1" t="s">
        <v>29</v>
      </c>
      <c r="V54" s="1" t="s">
        <v>19</v>
      </c>
      <c r="W54" s="1" t="s">
        <v>29</v>
      </c>
      <c r="X54" s="1">
        <v>1.44</v>
      </c>
      <c r="Y54" s="1">
        <v>47</v>
      </c>
      <c r="Z54" s="3">
        <f t="shared" si="0"/>
        <v>22.665895061728396</v>
      </c>
      <c r="AA54" s="1">
        <v>40</v>
      </c>
      <c r="AB54" s="1">
        <v>37</v>
      </c>
      <c r="AC54" s="3">
        <f t="shared" si="1"/>
        <v>0.92500000000000004</v>
      </c>
      <c r="AD54" t="s">
        <v>171</v>
      </c>
      <c r="AE54">
        <v>70</v>
      </c>
      <c r="AF54">
        <v>16</v>
      </c>
      <c r="AG54">
        <v>36.799999999999997</v>
      </c>
      <c r="AH54">
        <v>5.3</v>
      </c>
    </row>
    <row r="55" spans="1:34" x14ac:dyDescent="0.25">
      <c r="A55" s="1">
        <v>53</v>
      </c>
      <c r="B55" s="1">
        <v>54</v>
      </c>
      <c r="C55" s="1" t="s">
        <v>32</v>
      </c>
      <c r="D55" s="1" t="s">
        <v>21</v>
      </c>
      <c r="E55" s="1" t="s">
        <v>36</v>
      </c>
      <c r="F55" s="1" t="s">
        <v>50</v>
      </c>
      <c r="G55" s="1">
        <v>2003</v>
      </c>
      <c r="H55" s="1">
        <v>11</v>
      </c>
      <c r="I55" s="1">
        <v>5</v>
      </c>
      <c r="J55" s="1" t="s">
        <v>19</v>
      </c>
      <c r="K55" s="1" t="s">
        <v>29</v>
      </c>
      <c r="L55" s="1" t="s">
        <v>60</v>
      </c>
      <c r="M55" s="1" t="s">
        <v>12</v>
      </c>
      <c r="N55" s="1" t="s">
        <v>33</v>
      </c>
      <c r="O55" s="1" t="s">
        <v>29</v>
      </c>
      <c r="P55" s="1" t="s">
        <v>29</v>
      </c>
      <c r="Q55" s="1" t="s">
        <v>19</v>
      </c>
      <c r="R55" s="1" t="s">
        <v>29</v>
      </c>
      <c r="S55" s="1" t="s">
        <v>29</v>
      </c>
      <c r="T55" s="1" t="s">
        <v>14</v>
      </c>
      <c r="U55" s="1" t="s">
        <v>53</v>
      </c>
      <c r="V55" s="1" t="s">
        <v>14</v>
      </c>
      <c r="W55" s="1" t="s">
        <v>53</v>
      </c>
      <c r="X55" s="1">
        <v>1.62</v>
      </c>
      <c r="Y55" s="1">
        <v>64</v>
      </c>
      <c r="Z55" s="3">
        <f t="shared" si="0"/>
        <v>24.386526444139609</v>
      </c>
      <c r="AA55" s="1">
        <v>100</v>
      </c>
      <c r="AB55" s="1">
        <v>92</v>
      </c>
      <c r="AC55" s="3">
        <f t="shared" si="1"/>
        <v>0.92</v>
      </c>
      <c r="AD55" t="s">
        <v>172</v>
      </c>
      <c r="AE55">
        <v>70</v>
      </c>
      <c r="AF55">
        <v>16</v>
      </c>
      <c r="AG55">
        <v>36.4</v>
      </c>
      <c r="AH55">
        <v>15.2</v>
      </c>
    </row>
    <row r="56" spans="1:34" x14ac:dyDescent="0.25">
      <c r="A56" s="1">
        <v>54</v>
      </c>
      <c r="B56" s="1">
        <v>72</v>
      </c>
      <c r="C56" s="1" t="s">
        <v>11</v>
      </c>
      <c r="D56" s="1" t="s">
        <v>42</v>
      </c>
      <c r="E56" s="1" t="s">
        <v>36</v>
      </c>
      <c r="F56" s="1" t="s">
        <v>23</v>
      </c>
      <c r="G56" s="1">
        <v>1975</v>
      </c>
      <c r="H56" s="1">
        <v>39</v>
      </c>
      <c r="I56" s="1">
        <v>3</v>
      </c>
      <c r="J56" s="1" t="s">
        <v>14</v>
      </c>
      <c r="K56" s="1" t="s">
        <v>15</v>
      </c>
      <c r="L56" s="1" t="s">
        <v>16</v>
      </c>
      <c r="M56" s="1" t="s">
        <v>29</v>
      </c>
      <c r="N56" s="1" t="s">
        <v>25</v>
      </c>
      <c r="O56" s="1" t="s">
        <v>26</v>
      </c>
      <c r="P56" s="1" t="s">
        <v>28</v>
      </c>
      <c r="Q56" s="1" t="s">
        <v>14</v>
      </c>
      <c r="R56" s="1" t="s">
        <v>27</v>
      </c>
      <c r="S56" s="5" t="s">
        <v>30</v>
      </c>
      <c r="T56" s="1" t="s">
        <v>14</v>
      </c>
      <c r="U56" s="1" t="s">
        <v>49</v>
      </c>
      <c r="V56" s="1" t="s">
        <v>14</v>
      </c>
      <c r="W56" s="1" t="s">
        <v>59</v>
      </c>
      <c r="X56" s="1">
        <v>1.85</v>
      </c>
      <c r="Y56" s="1">
        <v>98</v>
      </c>
      <c r="Z56" s="3">
        <f t="shared" si="0"/>
        <v>28.634039444850252</v>
      </c>
      <c r="AA56" s="1">
        <v>120</v>
      </c>
      <c r="AB56" s="1">
        <v>125</v>
      </c>
      <c r="AC56" s="3">
        <f t="shared" si="1"/>
        <v>1.0416666666666667</v>
      </c>
      <c r="AD56" t="s">
        <v>173</v>
      </c>
      <c r="AE56">
        <v>80</v>
      </c>
      <c r="AF56">
        <v>16</v>
      </c>
      <c r="AG56">
        <v>36.799999999999997</v>
      </c>
      <c r="AH56">
        <v>9</v>
      </c>
    </row>
    <row r="57" spans="1:34" x14ac:dyDescent="0.25">
      <c r="A57" s="1">
        <v>55</v>
      </c>
      <c r="B57" s="1">
        <v>60</v>
      </c>
      <c r="C57" s="1" t="s">
        <v>32</v>
      </c>
      <c r="D57" s="1" t="s">
        <v>35</v>
      </c>
      <c r="E57" s="1" t="s">
        <v>37</v>
      </c>
      <c r="F57" s="1" t="s">
        <v>38</v>
      </c>
      <c r="G57" s="1">
        <v>2014</v>
      </c>
      <c r="H57" s="1">
        <v>1</v>
      </c>
      <c r="I57" s="1">
        <v>4</v>
      </c>
      <c r="J57" s="1" t="s">
        <v>14</v>
      </c>
      <c r="K57" s="1" t="s">
        <v>15</v>
      </c>
      <c r="L57" s="1" t="s">
        <v>18</v>
      </c>
      <c r="M57" s="1" t="s">
        <v>16</v>
      </c>
      <c r="N57" s="1" t="s">
        <v>33</v>
      </c>
      <c r="O57" s="1" t="s">
        <v>29</v>
      </c>
      <c r="P57" s="1" t="s">
        <v>29</v>
      </c>
      <c r="Q57" s="1" t="s">
        <v>19</v>
      </c>
      <c r="R57" s="1" t="s">
        <v>29</v>
      </c>
      <c r="S57" s="1" t="s">
        <v>29</v>
      </c>
      <c r="T57" s="1" t="s">
        <v>19</v>
      </c>
      <c r="U57" s="1" t="s">
        <v>29</v>
      </c>
      <c r="V57" s="1" t="s">
        <v>19</v>
      </c>
      <c r="W57" s="1" t="s">
        <v>29</v>
      </c>
      <c r="X57" s="1">
        <v>1.67</v>
      </c>
      <c r="Y57" s="1">
        <v>60</v>
      </c>
      <c r="Z57" s="3">
        <f t="shared" si="0"/>
        <v>21.513858510523864</v>
      </c>
      <c r="AA57" s="1">
        <v>38</v>
      </c>
      <c r="AB57" s="1">
        <v>34</v>
      </c>
      <c r="AC57" s="3">
        <f t="shared" si="1"/>
        <v>0.89473684210526316</v>
      </c>
      <c r="AD57" t="s">
        <v>165</v>
      </c>
      <c r="AE57">
        <v>80</v>
      </c>
      <c r="AF57">
        <v>20</v>
      </c>
      <c r="AG57">
        <v>36.200000000000003</v>
      </c>
      <c r="AH57">
        <v>10.4</v>
      </c>
    </row>
    <row r="58" spans="1:34" x14ac:dyDescent="0.25">
      <c r="A58" s="1">
        <v>56</v>
      </c>
      <c r="B58" s="1">
        <v>52</v>
      </c>
      <c r="C58" s="1" t="s">
        <v>32</v>
      </c>
      <c r="D58" s="1" t="s">
        <v>21</v>
      </c>
      <c r="E58" s="1" t="s">
        <v>22</v>
      </c>
      <c r="F58" s="1" t="s">
        <v>38</v>
      </c>
      <c r="G58" s="1">
        <v>2014</v>
      </c>
      <c r="H58" s="1">
        <v>1</v>
      </c>
      <c r="I58" s="63">
        <v>4</v>
      </c>
      <c r="J58" s="1" t="s">
        <v>19</v>
      </c>
      <c r="K58" s="1" t="s">
        <v>29</v>
      </c>
      <c r="L58" s="1" t="s">
        <v>18</v>
      </c>
      <c r="M58" s="1" t="s">
        <v>29</v>
      </c>
      <c r="N58" s="1" t="s">
        <v>33</v>
      </c>
      <c r="O58" s="1" t="s">
        <v>29</v>
      </c>
      <c r="P58" s="1" t="s">
        <v>29</v>
      </c>
      <c r="Q58" s="1" t="s">
        <v>19</v>
      </c>
      <c r="R58" s="1" t="s">
        <v>29</v>
      </c>
      <c r="S58" s="1" t="s">
        <v>29</v>
      </c>
      <c r="T58" s="1" t="s">
        <v>19</v>
      </c>
      <c r="U58" s="1" t="s">
        <v>29</v>
      </c>
      <c r="V58" s="1" t="s">
        <v>19</v>
      </c>
      <c r="W58" s="1" t="s">
        <v>29</v>
      </c>
      <c r="X58" s="1">
        <v>1.62</v>
      </c>
      <c r="Y58" s="1">
        <v>62</v>
      </c>
      <c r="Z58" s="3">
        <f t="shared" si="0"/>
        <v>23.624447492760247</v>
      </c>
      <c r="AA58" s="1">
        <v>104</v>
      </c>
      <c r="AB58" s="1">
        <v>89</v>
      </c>
      <c r="AC58" s="3">
        <f t="shared" si="1"/>
        <v>0.85576923076923073</v>
      </c>
      <c r="AD58" t="s">
        <v>173</v>
      </c>
      <c r="AE58">
        <v>74</v>
      </c>
      <c r="AF58">
        <v>16</v>
      </c>
      <c r="AG58">
        <v>35</v>
      </c>
      <c r="AH58">
        <v>8.4</v>
      </c>
    </row>
    <row r="59" spans="1:34" x14ac:dyDescent="0.25">
      <c r="A59" s="1">
        <v>57</v>
      </c>
      <c r="B59" s="1">
        <v>91</v>
      </c>
      <c r="C59" s="1" t="s">
        <v>32</v>
      </c>
      <c r="D59" s="1" t="s">
        <v>42</v>
      </c>
      <c r="E59" s="1" t="s">
        <v>22</v>
      </c>
      <c r="F59" s="1" t="s">
        <v>43</v>
      </c>
      <c r="G59" s="1">
        <v>2011</v>
      </c>
      <c r="H59" s="1">
        <v>3</v>
      </c>
      <c r="I59" s="1">
        <v>3</v>
      </c>
      <c r="J59" s="1" t="s">
        <v>14</v>
      </c>
      <c r="K59" s="1" t="s">
        <v>15</v>
      </c>
      <c r="L59" s="1" t="s">
        <v>16</v>
      </c>
      <c r="M59" s="1" t="s">
        <v>17</v>
      </c>
      <c r="N59" s="1" t="s">
        <v>33</v>
      </c>
      <c r="O59" s="1" t="s">
        <v>29</v>
      </c>
      <c r="P59" s="1" t="s">
        <v>29</v>
      </c>
      <c r="Q59" s="1" t="s">
        <v>19</v>
      </c>
      <c r="R59" s="1" t="s">
        <v>29</v>
      </c>
      <c r="S59" s="1" t="s">
        <v>29</v>
      </c>
      <c r="T59" s="1" t="s">
        <v>19</v>
      </c>
      <c r="U59" s="1" t="s">
        <v>29</v>
      </c>
      <c r="V59" s="1" t="s">
        <v>19</v>
      </c>
      <c r="W59" s="1" t="s">
        <v>29</v>
      </c>
      <c r="X59" s="1">
        <v>1.5</v>
      </c>
      <c r="Y59" s="1">
        <v>52</v>
      </c>
      <c r="Z59" s="3">
        <f t="shared" si="0"/>
        <v>23.111111111111111</v>
      </c>
      <c r="AA59" s="1">
        <v>108</v>
      </c>
      <c r="AB59" s="1">
        <v>104</v>
      </c>
      <c r="AC59" s="3">
        <f t="shared" si="1"/>
        <v>0.96296296296296291</v>
      </c>
      <c r="AD59" t="s">
        <v>164</v>
      </c>
      <c r="AE59">
        <v>62</v>
      </c>
      <c r="AF59">
        <v>18</v>
      </c>
      <c r="AG59">
        <v>36.4</v>
      </c>
      <c r="AH59">
        <v>4.8</v>
      </c>
    </row>
    <row r="60" spans="1:34" x14ac:dyDescent="0.25">
      <c r="A60" s="1">
        <v>58</v>
      </c>
      <c r="B60" s="1">
        <v>62</v>
      </c>
      <c r="C60" s="1" t="s">
        <v>32</v>
      </c>
      <c r="D60" s="1" t="s">
        <v>42</v>
      </c>
      <c r="E60" s="1" t="s">
        <v>22</v>
      </c>
      <c r="F60" s="1" t="s">
        <v>23</v>
      </c>
      <c r="G60" s="1">
        <v>2013</v>
      </c>
      <c r="H60" s="1">
        <v>1</v>
      </c>
      <c r="I60" s="1">
        <v>5</v>
      </c>
      <c r="J60" s="1" t="s">
        <v>14</v>
      </c>
      <c r="K60" s="1" t="s">
        <v>15</v>
      </c>
      <c r="L60" s="1" t="s">
        <v>68</v>
      </c>
      <c r="M60" s="1" t="s">
        <v>17</v>
      </c>
      <c r="N60" s="1" t="s">
        <v>33</v>
      </c>
      <c r="O60" s="1" t="s">
        <v>29</v>
      </c>
      <c r="P60" s="1" t="s">
        <v>29</v>
      </c>
      <c r="Q60" s="1" t="s">
        <v>19</v>
      </c>
      <c r="R60" s="1" t="s">
        <v>29</v>
      </c>
      <c r="S60" s="1" t="s">
        <v>29</v>
      </c>
      <c r="T60" s="1" t="s">
        <v>14</v>
      </c>
      <c r="U60" s="1" t="s">
        <v>41</v>
      </c>
      <c r="V60" s="1" t="s">
        <v>14</v>
      </c>
      <c r="W60" s="1" t="s">
        <v>41</v>
      </c>
      <c r="X60" s="1">
        <v>1.6</v>
      </c>
      <c r="Y60" s="1">
        <v>82</v>
      </c>
      <c r="Z60" s="3">
        <f t="shared" si="0"/>
        <v>32.031249999999993</v>
      </c>
      <c r="AA60" s="1">
        <v>126</v>
      </c>
      <c r="AB60" s="1">
        <v>115</v>
      </c>
      <c r="AC60" s="3">
        <f t="shared" si="1"/>
        <v>0.91269841269841268</v>
      </c>
      <c r="AD60" t="s">
        <v>165</v>
      </c>
      <c r="AE60">
        <v>68</v>
      </c>
      <c r="AF60">
        <v>16</v>
      </c>
      <c r="AG60">
        <v>37</v>
      </c>
      <c r="AH60">
        <v>9</v>
      </c>
    </row>
    <row r="61" spans="1:34" x14ac:dyDescent="0.25">
      <c r="A61" s="1">
        <v>59</v>
      </c>
      <c r="B61" s="1">
        <v>65</v>
      </c>
      <c r="C61" s="1" t="s">
        <v>32</v>
      </c>
      <c r="D61" s="1" t="s">
        <v>21</v>
      </c>
      <c r="E61" s="1" t="s">
        <v>22</v>
      </c>
      <c r="F61" s="1" t="s">
        <v>43</v>
      </c>
      <c r="G61" s="1">
        <v>2011</v>
      </c>
      <c r="H61" s="1">
        <v>3</v>
      </c>
      <c r="I61" s="1">
        <v>4</v>
      </c>
      <c r="J61" s="1" t="s">
        <v>19</v>
      </c>
      <c r="K61" s="1" t="s">
        <v>29</v>
      </c>
      <c r="L61" s="1" t="s">
        <v>16</v>
      </c>
      <c r="M61" s="1" t="s">
        <v>12</v>
      </c>
      <c r="N61" s="1" t="s">
        <v>33</v>
      </c>
      <c r="O61" s="1" t="s">
        <v>29</v>
      </c>
      <c r="P61" s="1" t="s">
        <v>29</v>
      </c>
      <c r="Q61" s="1" t="s">
        <v>19</v>
      </c>
      <c r="R61" s="1" t="s">
        <v>29</v>
      </c>
      <c r="S61" s="1" t="s">
        <v>29</v>
      </c>
      <c r="T61" s="1" t="s">
        <v>19</v>
      </c>
      <c r="U61" s="1" t="s">
        <v>29</v>
      </c>
      <c r="V61" s="1" t="s">
        <v>19</v>
      </c>
      <c r="W61" s="1" t="s">
        <v>29</v>
      </c>
      <c r="X61" s="1">
        <v>1.67</v>
      </c>
      <c r="Y61" s="1">
        <v>57</v>
      </c>
      <c r="Z61" s="3">
        <f t="shared" si="0"/>
        <v>20.43816558499767</v>
      </c>
      <c r="AA61" s="1">
        <v>102</v>
      </c>
      <c r="AB61" s="1">
        <v>83</v>
      </c>
      <c r="AC61" s="3">
        <f t="shared" si="1"/>
        <v>0.81372549019607843</v>
      </c>
      <c r="AD61" t="s">
        <v>165</v>
      </c>
      <c r="AE61">
        <v>76</v>
      </c>
      <c r="AF61">
        <v>14</v>
      </c>
      <c r="AG61">
        <v>36.799999999999997</v>
      </c>
      <c r="AH61">
        <v>10</v>
      </c>
    </row>
    <row r="62" spans="1:34" x14ac:dyDescent="0.25">
      <c r="A62" s="1">
        <v>60</v>
      </c>
      <c r="B62" s="1">
        <v>73</v>
      </c>
      <c r="C62" s="1" t="s">
        <v>11</v>
      </c>
      <c r="D62" s="1" t="s">
        <v>21</v>
      </c>
      <c r="E62" s="1" t="s">
        <v>22</v>
      </c>
      <c r="F62" s="1" t="s">
        <v>43</v>
      </c>
      <c r="G62" s="1">
        <v>1988</v>
      </c>
      <c r="H62" s="1">
        <v>26</v>
      </c>
      <c r="I62" s="1">
        <v>4</v>
      </c>
      <c r="J62" s="1" t="s">
        <v>14</v>
      </c>
      <c r="K62" s="1" t="s">
        <v>69</v>
      </c>
      <c r="L62" s="1" t="s">
        <v>16</v>
      </c>
      <c r="M62" s="1" t="s">
        <v>17</v>
      </c>
      <c r="N62" s="1" t="s">
        <v>25</v>
      </c>
      <c r="O62" s="1" t="s">
        <v>26</v>
      </c>
      <c r="P62" s="1" t="s">
        <v>28</v>
      </c>
      <c r="Q62" s="1" t="s">
        <v>14</v>
      </c>
      <c r="R62" s="5" t="s">
        <v>58</v>
      </c>
      <c r="S62" s="5" t="s">
        <v>58</v>
      </c>
      <c r="T62" s="1" t="s">
        <v>14</v>
      </c>
      <c r="U62" s="1" t="s">
        <v>70</v>
      </c>
      <c r="V62" s="1" t="s">
        <v>19</v>
      </c>
      <c r="W62" s="1" t="s">
        <v>29</v>
      </c>
      <c r="X62" s="1">
        <v>1.6</v>
      </c>
      <c r="Y62" s="1">
        <v>60</v>
      </c>
      <c r="Z62" s="3">
        <f t="shared" si="0"/>
        <v>23.437499999999996</v>
      </c>
      <c r="AA62" s="1">
        <v>86</v>
      </c>
      <c r="AB62" s="1">
        <v>98</v>
      </c>
      <c r="AC62" s="3">
        <f t="shared" si="1"/>
        <v>1.1395348837209303</v>
      </c>
      <c r="AD62" t="s">
        <v>174</v>
      </c>
      <c r="AE62">
        <v>80</v>
      </c>
      <c r="AF62">
        <v>18</v>
      </c>
      <c r="AG62">
        <v>37.299999999999997</v>
      </c>
      <c r="AH62">
        <v>5.4</v>
      </c>
    </row>
    <row r="63" spans="1:34" x14ac:dyDescent="0.25">
      <c r="A63" s="1">
        <v>61</v>
      </c>
      <c r="B63" s="1">
        <v>69</v>
      </c>
      <c r="C63" s="1" t="s">
        <v>32</v>
      </c>
      <c r="D63" s="1" t="s">
        <v>42</v>
      </c>
      <c r="E63" s="1" t="s">
        <v>22</v>
      </c>
      <c r="F63" s="1" t="s">
        <v>38</v>
      </c>
      <c r="G63" s="1">
        <v>2010</v>
      </c>
      <c r="H63" s="1">
        <v>4</v>
      </c>
      <c r="I63" s="1">
        <v>3</v>
      </c>
      <c r="J63" s="1" t="s">
        <v>19</v>
      </c>
      <c r="K63" s="1" t="s">
        <v>29</v>
      </c>
      <c r="L63" s="1" t="s">
        <v>16</v>
      </c>
      <c r="M63" s="1" t="s">
        <v>29</v>
      </c>
      <c r="N63" s="1" t="s">
        <v>33</v>
      </c>
      <c r="O63" s="1" t="s">
        <v>29</v>
      </c>
      <c r="P63" s="1" t="s">
        <v>29</v>
      </c>
      <c r="Q63" s="1" t="s">
        <v>19</v>
      </c>
      <c r="R63" s="1" t="s">
        <v>29</v>
      </c>
      <c r="S63" s="1" t="s">
        <v>29</v>
      </c>
      <c r="T63" s="1" t="s">
        <v>14</v>
      </c>
      <c r="U63" s="1" t="s">
        <v>46</v>
      </c>
      <c r="V63" s="1" t="s">
        <v>19</v>
      </c>
      <c r="W63" s="1" t="s">
        <v>29</v>
      </c>
      <c r="X63" s="1">
        <v>1.77</v>
      </c>
      <c r="Y63" s="1">
        <v>91.5</v>
      </c>
      <c r="Z63" s="3">
        <f t="shared" si="0"/>
        <v>29.20616681030355</v>
      </c>
      <c r="AA63" s="1">
        <v>47</v>
      </c>
      <c r="AB63" s="1">
        <v>43</v>
      </c>
      <c r="AC63" s="3">
        <f t="shared" si="1"/>
        <v>0.91489361702127658</v>
      </c>
      <c r="AD63" t="s">
        <v>175</v>
      </c>
      <c r="AE63">
        <v>74</v>
      </c>
      <c r="AF63">
        <v>16</v>
      </c>
      <c r="AG63">
        <v>37.200000000000003</v>
      </c>
      <c r="AH63">
        <v>10.7</v>
      </c>
    </row>
    <row r="64" spans="1:34" x14ac:dyDescent="0.25">
      <c r="A64" s="1">
        <v>62</v>
      </c>
      <c r="B64" s="1">
        <v>70</v>
      </c>
      <c r="C64" s="1" t="s">
        <v>11</v>
      </c>
      <c r="D64" s="1" t="s">
        <v>21</v>
      </c>
      <c r="E64" s="1" t="s">
        <v>22</v>
      </c>
      <c r="F64" s="1" t="s">
        <v>43</v>
      </c>
      <c r="G64" s="1">
        <v>1979</v>
      </c>
      <c r="H64" s="1">
        <v>35</v>
      </c>
      <c r="I64" s="1">
        <v>4</v>
      </c>
      <c r="J64" s="1" t="s">
        <v>14</v>
      </c>
      <c r="K64" s="1" t="s">
        <v>15</v>
      </c>
      <c r="L64" s="1" t="s">
        <v>18</v>
      </c>
      <c r="M64" s="1" t="s">
        <v>16</v>
      </c>
      <c r="N64" s="1" t="s">
        <v>25</v>
      </c>
      <c r="O64" s="1" t="s">
        <v>26</v>
      </c>
      <c r="P64" s="1" t="s">
        <v>28</v>
      </c>
      <c r="Q64" s="1" t="s">
        <v>14</v>
      </c>
      <c r="R64" s="5" t="s">
        <v>58</v>
      </c>
      <c r="S64" s="5" t="s">
        <v>58</v>
      </c>
      <c r="T64" s="1" t="s">
        <v>19</v>
      </c>
      <c r="U64" s="1" t="s">
        <v>29</v>
      </c>
      <c r="V64" s="1" t="s">
        <v>19</v>
      </c>
      <c r="W64" s="1" t="s">
        <v>29</v>
      </c>
      <c r="X64" s="1">
        <v>1.58</v>
      </c>
      <c r="Y64" s="1">
        <v>65</v>
      </c>
      <c r="Z64" s="3">
        <f t="shared" si="0"/>
        <v>26.037493991347535</v>
      </c>
      <c r="AA64" s="1">
        <v>112</v>
      </c>
      <c r="AB64" s="1">
        <v>107</v>
      </c>
      <c r="AC64" s="3">
        <f t="shared" si="1"/>
        <v>0.9553571428571429</v>
      </c>
      <c r="AD64" t="s">
        <v>176</v>
      </c>
      <c r="AE64">
        <v>60</v>
      </c>
      <c r="AF64">
        <v>16</v>
      </c>
      <c r="AG64">
        <v>37.1</v>
      </c>
      <c r="AH64">
        <v>6.9</v>
      </c>
    </row>
    <row r="65" spans="1:34" x14ac:dyDescent="0.25">
      <c r="A65" s="1">
        <v>63</v>
      </c>
      <c r="B65" s="1">
        <v>60</v>
      </c>
      <c r="C65" s="1" t="s">
        <v>32</v>
      </c>
      <c r="D65" s="1" t="s">
        <v>21</v>
      </c>
      <c r="E65" s="1" t="s">
        <v>37</v>
      </c>
      <c r="F65" s="1" t="s">
        <v>38</v>
      </c>
      <c r="G65" s="1">
        <v>2000</v>
      </c>
      <c r="H65" s="1">
        <v>14</v>
      </c>
      <c r="I65" s="1">
        <v>4</v>
      </c>
      <c r="J65" s="1" t="s">
        <v>14</v>
      </c>
      <c r="K65" s="1" t="s">
        <v>15</v>
      </c>
      <c r="L65" s="1" t="s">
        <v>16</v>
      </c>
      <c r="M65" s="1" t="s">
        <v>12</v>
      </c>
      <c r="N65" s="1" t="s">
        <v>33</v>
      </c>
      <c r="O65" s="1" t="s">
        <v>29</v>
      </c>
      <c r="P65" s="1" t="s">
        <v>29</v>
      </c>
      <c r="Q65" s="1" t="s">
        <v>19</v>
      </c>
      <c r="R65" s="1" t="s">
        <v>29</v>
      </c>
      <c r="S65" s="1" t="s">
        <v>29</v>
      </c>
      <c r="T65" s="1" t="s">
        <v>14</v>
      </c>
      <c r="U65" s="1" t="s">
        <v>41</v>
      </c>
      <c r="V65" s="1" t="s">
        <v>19</v>
      </c>
      <c r="W65" s="1" t="s">
        <v>29</v>
      </c>
      <c r="X65" s="1">
        <v>1.66</v>
      </c>
      <c r="Y65" s="1">
        <v>80</v>
      </c>
      <c r="Z65" s="3">
        <f t="shared" si="0"/>
        <v>29.031789809841779</v>
      </c>
      <c r="AA65" s="1">
        <v>47</v>
      </c>
      <c r="AB65" s="1">
        <v>37</v>
      </c>
      <c r="AC65" s="3">
        <f t="shared" si="1"/>
        <v>0.78723404255319152</v>
      </c>
      <c r="AD65" t="s">
        <v>177</v>
      </c>
      <c r="AE65">
        <v>78</v>
      </c>
      <c r="AF65">
        <v>16</v>
      </c>
      <c r="AG65">
        <v>37.4</v>
      </c>
      <c r="AH65">
        <v>6.9</v>
      </c>
    </row>
    <row r="66" spans="1:34" x14ac:dyDescent="0.25">
      <c r="A66" s="1">
        <v>64</v>
      </c>
      <c r="B66" s="1">
        <v>75</v>
      </c>
      <c r="C66" s="1" t="s">
        <v>11</v>
      </c>
      <c r="D66" s="1" t="s">
        <v>21</v>
      </c>
      <c r="E66" s="1" t="s">
        <v>22</v>
      </c>
      <c r="F66" s="1" t="s">
        <v>43</v>
      </c>
      <c r="G66" s="1">
        <v>2003</v>
      </c>
      <c r="H66" s="1">
        <v>11</v>
      </c>
      <c r="I66" s="1">
        <v>4</v>
      </c>
      <c r="J66" s="1" t="s">
        <v>14</v>
      </c>
      <c r="K66" s="1" t="s">
        <v>71</v>
      </c>
      <c r="L66" s="1" t="s">
        <v>16</v>
      </c>
      <c r="M66" s="1" t="s">
        <v>17</v>
      </c>
      <c r="N66" s="1" t="s">
        <v>25</v>
      </c>
      <c r="O66" s="1" t="s">
        <v>26</v>
      </c>
      <c r="P66" s="1" t="s">
        <v>28</v>
      </c>
      <c r="Q66" s="1" t="s">
        <v>14</v>
      </c>
      <c r="R66" s="1" t="s">
        <v>27</v>
      </c>
      <c r="S66" s="4" t="s">
        <v>61</v>
      </c>
      <c r="T66" s="1" t="s">
        <v>14</v>
      </c>
      <c r="U66" s="1" t="s">
        <v>49</v>
      </c>
      <c r="V66" s="1" t="s">
        <v>14</v>
      </c>
      <c r="W66" s="1" t="s">
        <v>49</v>
      </c>
      <c r="X66" s="1">
        <v>1.66</v>
      </c>
      <c r="Y66" s="1">
        <v>75</v>
      </c>
      <c r="Z66" s="3">
        <f t="shared" si="0"/>
        <v>27.217302946726669</v>
      </c>
      <c r="AA66" s="1">
        <v>107</v>
      </c>
      <c r="AB66" s="1">
        <v>108</v>
      </c>
      <c r="AC66" s="3">
        <f t="shared" si="1"/>
        <v>1.0093457943925233</v>
      </c>
      <c r="AD66" t="s">
        <v>178</v>
      </c>
      <c r="AE66">
        <v>70</v>
      </c>
      <c r="AF66">
        <v>18</v>
      </c>
      <c r="AG66">
        <v>37</v>
      </c>
      <c r="AH66">
        <v>11</v>
      </c>
    </row>
    <row r="67" spans="1:34" x14ac:dyDescent="0.25">
      <c r="A67" s="1">
        <v>65</v>
      </c>
      <c r="B67" s="1">
        <v>64</v>
      </c>
      <c r="C67" s="1" t="s">
        <v>32</v>
      </c>
      <c r="D67" s="1" t="s">
        <v>21</v>
      </c>
      <c r="E67" s="1" t="s">
        <v>22</v>
      </c>
      <c r="F67" s="1" t="s">
        <v>43</v>
      </c>
      <c r="G67" s="1">
        <v>2013</v>
      </c>
      <c r="H67" s="1">
        <v>1</v>
      </c>
      <c r="I67" s="1">
        <v>5</v>
      </c>
      <c r="J67" s="1" t="s">
        <v>19</v>
      </c>
      <c r="K67" s="1" t="s">
        <v>29</v>
      </c>
      <c r="L67" s="1" t="s">
        <v>12</v>
      </c>
      <c r="M67" s="1" t="s">
        <v>29</v>
      </c>
      <c r="N67" s="1" t="s">
        <v>33</v>
      </c>
      <c r="O67" s="1" t="s">
        <v>29</v>
      </c>
      <c r="P67" s="1" t="s">
        <v>29</v>
      </c>
      <c r="Q67" s="1" t="s">
        <v>19</v>
      </c>
      <c r="R67" s="1" t="s">
        <v>29</v>
      </c>
      <c r="S67" s="1" t="s">
        <v>29</v>
      </c>
      <c r="T67" s="1" t="s">
        <v>19</v>
      </c>
      <c r="U67" s="1" t="s">
        <v>29</v>
      </c>
      <c r="V67" s="1" t="s">
        <v>14</v>
      </c>
      <c r="W67" s="1" t="s">
        <v>59</v>
      </c>
      <c r="X67" s="1">
        <v>1.57</v>
      </c>
      <c r="Y67" s="1">
        <v>93</v>
      </c>
      <c r="Z67" s="3">
        <f t="shared" si="0"/>
        <v>37.729725343827333</v>
      </c>
      <c r="AA67" s="1">
        <v>120</v>
      </c>
      <c r="AB67" s="1">
        <v>135</v>
      </c>
      <c r="AC67" s="3">
        <f t="shared" si="1"/>
        <v>1.125</v>
      </c>
      <c r="AD67" t="s">
        <v>174</v>
      </c>
      <c r="AE67">
        <v>80</v>
      </c>
      <c r="AF67">
        <v>20</v>
      </c>
      <c r="AG67">
        <v>36.799999999999997</v>
      </c>
      <c r="AH67">
        <v>6.5</v>
      </c>
    </row>
    <row r="68" spans="1:34" x14ac:dyDescent="0.25">
      <c r="A68" s="1">
        <v>66</v>
      </c>
      <c r="B68" s="1">
        <v>65</v>
      </c>
      <c r="C68" s="1" t="s">
        <v>32</v>
      </c>
      <c r="D68" s="1" t="s">
        <v>35</v>
      </c>
      <c r="E68" s="1" t="s">
        <v>22</v>
      </c>
      <c r="F68" s="1" t="s">
        <v>38</v>
      </c>
      <c r="G68" s="1">
        <v>1992</v>
      </c>
      <c r="H68" s="1">
        <v>22</v>
      </c>
      <c r="I68" s="1">
        <v>4</v>
      </c>
      <c r="J68" s="1" t="s">
        <v>14</v>
      </c>
      <c r="K68" s="1" t="s">
        <v>15</v>
      </c>
      <c r="L68" s="1" t="s">
        <v>16</v>
      </c>
      <c r="M68" s="1" t="s">
        <v>29</v>
      </c>
      <c r="N68" s="1" t="s">
        <v>33</v>
      </c>
      <c r="O68" s="1" t="s">
        <v>29</v>
      </c>
      <c r="P68" s="1" t="s">
        <v>29</v>
      </c>
      <c r="Q68" s="1" t="s">
        <v>19</v>
      </c>
      <c r="R68" s="1" t="s">
        <v>29</v>
      </c>
      <c r="S68" s="1" t="s">
        <v>29</v>
      </c>
      <c r="T68" s="1" t="s">
        <v>14</v>
      </c>
      <c r="U68" s="1" t="s">
        <v>41</v>
      </c>
      <c r="V68" s="1" t="s">
        <v>14</v>
      </c>
      <c r="W68" s="1" t="s">
        <v>41</v>
      </c>
      <c r="X68" s="1">
        <v>1.54</v>
      </c>
      <c r="Y68" s="1">
        <v>64</v>
      </c>
      <c r="Z68" s="3">
        <f t="shared" ref="Z68:Z131" si="2">(Y68/(X68)^2)</f>
        <v>26.986001011975038</v>
      </c>
      <c r="AA68" s="1">
        <v>45</v>
      </c>
      <c r="AB68" s="1">
        <v>37</v>
      </c>
      <c r="AC68" s="3">
        <f t="shared" si="1"/>
        <v>0.82222222222222219</v>
      </c>
      <c r="AD68" t="s">
        <v>174</v>
      </c>
      <c r="AE68">
        <v>80</v>
      </c>
      <c r="AF68">
        <v>16</v>
      </c>
      <c r="AG68">
        <v>37.1</v>
      </c>
      <c r="AH68">
        <v>8.1</v>
      </c>
    </row>
    <row r="69" spans="1:34" x14ac:dyDescent="0.25">
      <c r="A69" s="1">
        <v>67</v>
      </c>
      <c r="B69" s="1">
        <v>66</v>
      </c>
      <c r="C69" s="1" t="s">
        <v>32</v>
      </c>
      <c r="D69" s="1" t="s">
        <v>42</v>
      </c>
      <c r="E69" s="1" t="s">
        <v>37</v>
      </c>
      <c r="F69" s="1" t="s">
        <v>43</v>
      </c>
      <c r="G69" s="1">
        <v>2013</v>
      </c>
      <c r="H69" s="1">
        <v>1</v>
      </c>
      <c r="I69" s="1">
        <v>6</v>
      </c>
      <c r="J69" s="1" t="s">
        <v>19</v>
      </c>
      <c r="K69" s="1" t="s">
        <v>29</v>
      </c>
      <c r="L69" s="56" t="s">
        <v>16</v>
      </c>
      <c r="M69" s="56" t="s">
        <v>16</v>
      </c>
      <c r="N69" s="1" t="s">
        <v>33</v>
      </c>
      <c r="O69" s="1" t="s">
        <v>29</v>
      </c>
      <c r="P69" s="1" t="s">
        <v>29</v>
      </c>
      <c r="Q69" s="1" t="s">
        <v>19</v>
      </c>
      <c r="R69" s="1" t="s">
        <v>29</v>
      </c>
      <c r="S69" s="1" t="s">
        <v>29</v>
      </c>
      <c r="T69" s="1" t="s">
        <v>14</v>
      </c>
      <c r="U69" s="1" t="s">
        <v>46</v>
      </c>
      <c r="V69" s="1" t="s">
        <v>19</v>
      </c>
      <c r="W69" s="1" t="s">
        <v>29</v>
      </c>
      <c r="X69" s="1">
        <v>1.65</v>
      </c>
      <c r="Y69" s="1">
        <v>45</v>
      </c>
      <c r="Z69" s="3">
        <f t="shared" si="2"/>
        <v>16.528925619834713</v>
      </c>
      <c r="AA69" s="1">
        <v>82</v>
      </c>
      <c r="AB69" s="1">
        <v>65</v>
      </c>
      <c r="AC69" s="3">
        <f t="shared" ref="AC69:AC132" si="3">AB69/AA69</f>
        <v>0.79268292682926833</v>
      </c>
      <c r="AD69" t="s">
        <v>169</v>
      </c>
      <c r="AE69">
        <v>76</v>
      </c>
      <c r="AF69">
        <v>20</v>
      </c>
      <c r="AG69">
        <v>36.299999999999997</v>
      </c>
      <c r="AH69">
        <v>16.5</v>
      </c>
    </row>
    <row r="70" spans="1:34" x14ac:dyDescent="0.25">
      <c r="A70" s="1">
        <v>68</v>
      </c>
      <c r="B70" s="1">
        <v>66</v>
      </c>
      <c r="C70" s="1" t="s">
        <v>32</v>
      </c>
      <c r="D70" s="1" t="s">
        <v>21</v>
      </c>
      <c r="E70" s="1" t="s">
        <v>22</v>
      </c>
      <c r="F70" s="1" t="s">
        <v>38</v>
      </c>
      <c r="G70" s="1">
        <v>2012</v>
      </c>
      <c r="H70" s="1">
        <v>2</v>
      </c>
      <c r="I70" s="1">
        <v>4</v>
      </c>
      <c r="J70" s="1" t="s">
        <v>14</v>
      </c>
      <c r="K70" s="1" t="s">
        <v>15</v>
      </c>
      <c r="L70" s="1" t="s">
        <v>16</v>
      </c>
      <c r="M70" s="1" t="s">
        <v>17</v>
      </c>
      <c r="N70" s="1" t="s">
        <v>33</v>
      </c>
      <c r="O70" s="1" t="s">
        <v>29</v>
      </c>
      <c r="P70" s="1" t="s">
        <v>29</v>
      </c>
      <c r="Q70" s="1" t="s">
        <v>19</v>
      </c>
      <c r="R70" s="1" t="s">
        <v>29</v>
      </c>
      <c r="S70" s="1" t="s">
        <v>29</v>
      </c>
      <c r="T70" s="1" t="s">
        <v>14</v>
      </c>
      <c r="U70" s="1" t="s">
        <v>41</v>
      </c>
      <c r="V70" s="1" t="s">
        <v>14</v>
      </c>
      <c r="W70" s="1" t="s">
        <v>49</v>
      </c>
      <c r="X70" s="1">
        <v>1.68</v>
      </c>
      <c r="Y70" s="1">
        <v>83</v>
      </c>
      <c r="Z70" s="3">
        <f t="shared" si="2"/>
        <v>29.407596371882089</v>
      </c>
      <c r="AA70" s="1">
        <v>59</v>
      </c>
      <c r="AB70" s="1">
        <v>38</v>
      </c>
      <c r="AC70" s="3">
        <f t="shared" si="3"/>
        <v>0.64406779661016944</v>
      </c>
      <c r="AD70" t="s">
        <v>179</v>
      </c>
      <c r="AE70">
        <v>78</v>
      </c>
      <c r="AF70">
        <v>16</v>
      </c>
      <c r="AG70">
        <v>37.1</v>
      </c>
      <c r="AH70">
        <v>6</v>
      </c>
    </row>
    <row r="71" spans="1:34" x14ac:dyDescent="0.25">
      <c r="A71" s="1">
        <v>69</v>
      </c>
      <c r="B71" s="1">
        <v>65</v>
      </c>
      <c r="C71" s="1" t="s">
        <v>11</v>
      </c>
      <c r="D71" s="1" t="s">
        <v>21</v>
      </c>
      <c r="E71" s="1" t="s">
        <v>36</v>
      </c>
      <c r="F71" s="1" t="s">
        <v>23</v>
      </c>
      <c r="G71" s="1">
        <v>1967</v>
      </c>
      <c r="H71" s="1">
        <v>47</v>
      </c>
      <c r="I71" s="1">
        <v>4</v>
      </c>
      <c r="J71" s="1" t="s">
        <v>14</v>
      </c>
      <c r="K71" s="1" t="s">
        <v>15</v>
      </c>
      <c r="L71" s="1" t="s">
        <v>16</v>
      </c>
      <c r="M71" s="1" t="s">
        <v>17</v>
      </c>
      <c r="N71" s="1" t="s">
        <v>33</v>
      </c>
      <c r="O71" s="1" t="s">
        <v>29</v>
      </c>
      <c r="P71" s="1" t="s">
        <v>29</v>
      </c>
      <c r="Q71" s="1" t="s">
        <v>19</v>
      </c>
      <c r="R71" s="1" t="s">
        <v>29</v>
      </c>
      <c r="S71" s="1" t="s">
        <v>29</v>
      </c>
      <c r="T71" s="1" t="s">
        <v>14</v>
      </c>
      <c r="U71" s="1" t="s">
        <v>63</v>
      </c>
      <c r="V71" s="1" t="s">
        <v>14</v>
      </c>
      <c r="W71" s="1" t="s">
        <v>59</v>
      </c>
      <c r="X71" s="1">
        <v>1.68</v>
      </c>
      <c r="Y71" s="1">
        <v>57</v>
      </c>
      <c r="Z71" s="3">
        <f t="shared" si="2"/>
        <v>20.195578231292519</v>
      </c>
      <c r="AA71" s="1">
        <v>94</v>
      </c>
      <c r="AB71" s="1">
        <v>84</v>
      </c>
      <c r="AC71" s="3">
        <f t="shared" si="3"/>
        <v>0.8936170212765957</v>
      </c>
      <c r="AD71" t="s">
        <v>171</v>
      </c>
      <c r="AE71">
        <v>72</v>
      </c>
      <c r="AF71">
        <v>16</v>
      </c>
      <c r="AG71">
        <v>36.799999999999997</v>
      </c>
      <c r="AH71">
        <v>7.2</v>
      </c>
    </row>
    <row r="72" spans="1:34" x14ac:dyDescent="0.25">
      <c r="A72" s="1">
        <v>70</v>
      </c>
      <c r="B72" s="1">
        <v>66</v>
      </c>
      <c r="C72" s="1" t="s">
        <v>11</v>
      </c>
      <c r="D72" s="1" t="s">
        <v>21</v>
      </c>
      <c r="E72" s="1" t="s">
        <v>22</v>
      </c>
      <c r="F72" s="1" t="s">
        <v>23</v>
      </c>
      <c r="G72" s="1">
        <v>2004</v>
      </c>
      <c r="H72" s="1">
        <v>10</v>
      </c>
      <c r="I72" s="1">
        <v>5</v>
      </c>
      <c r="J72" s="1" t="s">
        <v>19</v>
      </c>
      <c r="K72" s="1" t="s">
        <v>29</v>
      </c>
      <c r="L72" s="1" t="s">
        <v>18</v>
      </c>
      <c r="M72" s="1" t="s">
        <v>29</v>
      </c>
      <c r="N72" s="1" t="s">
        <v>33</v>
      </c>
      <c r="O72" s="1" t="s">
        <v>29</v>
      </c>
      <c r="P72" s="1" t="s">
        <v>29</v>
      </c>
      <c r="Q72" s="1" t="s">
        <v>14</v>
      </c>
      <c r="R72" s="5" t="s">
        <v>58</v>
      </c>
      <c r="S72" s="5" t="s">
        <v>58</v>
      </c>
      <c r="T72" s="1" t="s">
        <v>19</v>
      </c>
      <c r="U72" s="1" t="s">
        <v>29</v>
      </c>
      <c r="V72" s="1" t="s">
        <v>19</v>
      </c>
      <c r="W72" s="1" t="s">
        <v>29</v>
      </c>
      <c r="X72" s="1">
        <v>1.72</v>
      </c>
      <c r="Y72" s="1">
        <v>70</v>
      </c>
      <c r="Z72" s="3">
        <f t="shared" si="2"/>
        <v>23.661438615467823</v>
      </c>
      <c r="AA72" s="1">
        <v>100</v>
      </c>
      <c r="AB72" s="1">
        <v>107</v>
      </c>
      <c r="AC72" s="3">
        <f t="shared" si="3"/>
        <v>1.07</v>
      </c>
      <c r="AD72" t="s">
        <v>171</v>
      </c>
      <c r="AE72">
        <v>68</v>
      </c>
      <c r="AF72">
        <v>16</v>
      </c>
      <c r="AG72">
        <v>36.700000000000003</v>
      </c>
    </row>
    <row r="73" spans="1:34" x14ac:dyDescent="0.25">
      <c r="A73" s="27">
        <v>71</v>
      </c>
      <c r="B73" s="27">
        <v>71</v>
      </c>
      <c r="C73" s="27" t="s">
        <v>32</v>
      </c>
      <c r="D73" s="27" t="s">
        <v>42</v>
      </c>
      <c r="E73" s="27" t="s">
        <v>37</v>
      </c>
      <c r="F73" s="27" t="s">
        <v>43</v>
      </c>
      <c r="G73" s="27">
        <v>2000</v>
      </c>
      <c r="H73" s="27">
        <v>14</v>
      </c>
      <c r="I73" s="27">
        <v>4</v>
      </c>
      <c r="J73" s="27" t="s">
        <v>19</v>
      </c>
      <c r="K73" s="27" t="s">
        <v>29</v>
      </c>
      <c r="L73" s="27" t="s">
        <v>16</v>
      </c>
      <c r="M73" s="27" t="s">
        <v>29</v>
      </c>
      <c r="N73" s="27" t="s">
        <v>33</v>
      </c>
      <c r="O73" s="27" t="s">
        <v>29</v>
      </c>
      <c r="P73" s="27" t="s">
        <v>29</v>
      </c>
      <c r="Q73" s="27" t="s">
        <v>19</v>
      </c>
      <c r="R73" s="27" t="s">
        <v>29</v>
      </c>
      <c r="S73" s="27" t="s">
        <v>29</v>
      </c>
      <c r="T73" s="27" t="s">
        <v>19</v>
      </c>
      <c r="U73" s="27" t="s">
        <v>29</v>
      </c>
      <c r="V73" s="27" t="s">
        <v>19</v>
      </c>
      <c r="W73" s="27" t="s">
        <v>29</v>
      </c>
      <c r="X73" s="27">
        <v>1.65</v>
      </c>
      <c r="Y73" s="27">
        <v>68</v>
      </c>
      <c r="Z73" s="28">
        <f t="shared" si="2"/>
        <v>24.977043158861342</v>
      </c>
      <c r="AA73" s="27">
        <v>108</v>
      </c>
      <c r="AB73" s="27">
        <v>100</v>
      </c>
      <c r="AC73" s="28">
        <f t="shared" si="3"/>
        <v>0.92592592592592593</v>
      </c>
      <c r="AD73" t="s">
        <v>408</v>
      </c>
      <c r="AE73">
        <v>80</v>
      </c>
      <c r="AF73">
        <v>16</v>
      </c>
      <c r="AG73">
        <v>37</v>
      </c>
      <c r="AH73">
        <v>8</v>
      </c>
    </row>
    <row r="74" spans="1:34" x14ac:dyDescent="0.25">
      <c r="A74" s="1">
        <v>72</v>
      </c>
      <c r="B74" s="1">
        <v>65</v>
      </c>
      <c r="C74" s="1" t="s">
        <v>32</v>
      </c>
      <c r="D74" s="1" t="s">
        <v>42</v>
      </c>
      <c r="E74" s="1" t="s">
        <v>37</v>
      </c>
      <c r="F74" s="1" t="s">
        <v>43</v>
      </c>
      <c r="G74" s="1">
        <v>2008</v>
      </c>
      <c r="H74" s="1">
        <v>6</v>
      </c>
      <c r="I74" s="1">
        <v>4</v>
      </c>
      <c r="J74" s="1" t="s">
        <v>19</v>
      </c>
      <c r="K74" s="1" t="s">
        <v>29</v>
      </c>
      <c r="L74" s="1" t="s">
        <v>12</v>
      </c>
      <c r="M74" s="1" t="s">
        <v>29</v>
      </c>
      <c r="N74" s="1" t="s">
        <v>33</v>
      </c>
      <c r="O74" s="1" t="s">
        <v>29</v>
      </c>
      <c r="P74" s="1" t="s">
        <v>29</v>
      </c>
      <c r="Q74" s="1" t="s">
        <v>19</v>
      </c>
      <c r="R74" s="1" t="s">
        <v>29</v>
      </c>
      <c r="S74" s="1" t="s">
        <v>29</v>
      </c>
      <c r="T74" s="1" t="s">
        <v>19</v>
      </c>
      <c r="U74" s="1" t="s">
        <v>29</v>
      </c>
      <c r="V74" s="1" t="s">
        <v>19</v>
      </c>
      <c r="W74" s="1" t="s">
        <v>29</v>
      </c>
      <c r="X74" s="1">
        <v>1.66</v>
      </c>
      <c r="Y74" s="1">
        <v>69</v>
      </c>
      <c r="Z74" s="3">
        <f t="shared" si="2"/>
        <v>25.039918710988534</v>
      </c>
      <c r="AA74" s="1">
        <v>112</v>
      </c>
      <c r="AB74" s="1">
        <v>98</v>
      </c>
      <c r="AC74" s="3">
        <f t="shared" si="3"/>
        <v>0.875</v>
      </c>
      <c r="AD74" t="s">
        <v>171</v>
      </c>
      <c r="AE74">
        <v>82</v>
      </c>
      <c r="AF74">
        <v>16</v>
      </c>
      <c r="AG74">
        <v>37.1</v>
      </c>
      <c r="AH74">
        <v>4</v>
      </c>
    </row>
    <row r="75" spans="1:34" x14ac:dyDescent="0.25">
      <c r="A75" s="1">
        <v>73</v>
      </c>
      <c r="B75" s="1">
        <v>64</v>
      </c>
      <c r="C75" s="1" t="s">
        <v>11</v>
      </c>
      <c r="D75" s="1" t="s">
        <v>21</v>
      </c>
      <c r="E75" s="1" t="s">
        <v>34</v>
      </c>
      <c r="F75" s="1" t="s">
        <v>23</v>
      </c>
      <c r="G75" s="1">
        <v>1997</v>
      </c>
      <c r="H75" s="1">
        <v>17</v>
      </c>
      <c r="I75" s="1">
        <v>4</v>
      </c>
      <c r="J75" s="1" t="s">
        <v>14</v>
      </c>
      <c r="K75" s="1" t="s">
        <v>72</v>
      </c>
      <c r="L75" s="1" t="s">
        <v>16</v>
      </c>
      <c r="M75" s="1" t="s">
        <v>17</v>
      </c>
      <c r="N75" s="1" t="s">
        <v>33</v>
      </c>
      <c r="O75" s="1" t="s">
        <v>29</v>
      </c>
      <c r="P75" s="1" t="s">
        <v>29</v>
      </c>
      <c r="Q75" s="1" t="s">
        <v>14</v>
      </c>
      <c r="R75" s="1" t="s">
        <v>27</v>
      </c>
      <c r="S75" s="1" t="s">
        <v>58</v>
      </c>
      <c r="T75" s="1" t="s">
        <v>14</v>
      </c>
      <c r="U75" s="1" t="s">
        <v>73</v>
      </c>
      <c r="V75" s="1" t="s">
        <v>14</v>
      </c>
      <c r="W75" s="1" t="s">
        <v>41</v>
      </c>
      <c r="X75" s="1">
        <v>1.68</v>
      </c>
      <c r="Y75" s="1">
        <v>73</v>
      </c>
      <c r="Z75" s="3">
        <f t="shared" si="2"/>
        <v>25.864512471655331</v>
      </c>
      <c r="AA75" s="1">
        <v>106</v>
      </c>
      <c r="AB75" s="1">
        <v>105</v>
      </c>
      <c r="AC75" s="3">
        <f t="shared" si="3"/>
        <v>0.99056603773584906</v>
      </c>
      <c r="AD75" t="s">
        <v>180</v>
      </c>
      <c r="AE75">
        <v>90</v>
      </c>
      <c r="AF75">
        <v>16</v>
      </c>
      <c r="AG75">
        <v>36.4</v>
      </c>
      <c r="AH75">
        <v>17.100000000000001</v>
      </c>
    </row>
    <row r="76" spans="1:34" x14ac:dyDescent="0.25">
      <c r="A76" s="1">
        <v>74</v>
      </c>
      <c r="B76" s="1">
        <v>50</v>
      </c>
      <c r="C76" s="1" t="s">
        <v>32</v>
      </c>
      <c r="D76" s="1" t="s">
        <v>21</v>
      </c>
      <c r="E76" s="1" t="s">
        <v>22</v>
      </c>
      <c r="F76" s="1" t="s">
        <v>38</v>
      </c>
      <c r="G76" s="1">
        <v>2010</v>
      </c>
      <c r="H76" s="1">
        <v>4</v>
      </c>
      <c r="I76" s="1">
        <v>6</v>
      </c>
      <c r="J76" s="1" t="s">
        <v>19</v>
      </c>
      <c r="K76" s="1" t="s">
        <v>29</v>
      </c>
      <c r="L76" s="1" t="s">
        <v>18</v>
      </c>
      <c r="M76" s="1" t="s">
        <v>29</v>
      </c>
      <c r="N76" s="1" t="s">
        <v>33</v>
      </c>
      <c r="O76" s="1" t="s">
        <v>29</v>
      </c>
      <c r="P76" s="1" t="s">
        <v>29</v>
      </c>
      <c r="Q76" s="1" t="s">
        <v>19</v>
      </c>
      <c r="R76" s="1" t="s">
        <v>29</v>
      </c>
      <c r="S76" s="1" t="s">
        <v>29</v>
      </c>
      <c r="T76" s="1" t="s">
        <v>14</v>
      </c>
      <c r="U76" s="1" t="s">
        <v>47</v>
      </c>
      <c r="V76" s="1" t="s">
        <v>19</v>
      </c>
      <c r="W76" s="1" t="s">
        <v>29</v>
      </c>
      <c r="X76" s="1">
        <v>1.65</v>
      </c>
      <c r="Y76" s="1">
        <v>55</v>
      </c>
      <c r="Z76" s="3">
        <f t="shared" si="2"/>
        <v>20.202020202020204</v>
      </c>
      <c r="AA76" s="1">
        <v>37</v>
      </c>
      <c r="AB76" s="1">
        <v>31</v>
      </c>
      <c r="AC76" s="3">
        <f t="shared" si="3"/>
        <v>0.83783783783783783</v>
      </c>
      <c r="AD76" t="s">
        <v>181</v>
      </c>
      <c r="AE76">
        <v>64</v>
      </c>
      <c r="AF76">
        <v>18</v>
      </c>
      <c r="AG76">
        <v>37.1</v>
      </c>
      <c r="AH76">
        <v>17.100000000000001</v>
      </c>
    </row>
    <row r="77" spans="1:34" x14ac:dyDescent="0.25">
      <c r="A77" s="1">
        <v>75</v>
      </c>
      <c r="B77" s="1">
        <v>67</v>
      </c>
      <c r="C77" s="1" t="s">
        <v>11</v>
      </c>
      <c r="D77" s="1" t="s">
        <v>21</v>
      </c>
      <c r="E77" s="1" t="s">
        <v>22</v>
      </c>
      <c r="F77" s="1" t="s">
        <v>38</v>
      </c>
      <c r="G77" s="1">
        <v>2011</v>
      </c>
      <c r="H77" s="1">
        <v>3</v>
      </c>
      <c r="I77" s="1">
        <v>4</v>
      </c>
      <c r="J77" s="1" t="s">
        <v>14</v>
      </c>
      <c r="K77" s="1" t="s">
        <v>15</v>
      </c>
      <c r="L77" s="1" t="s">
        <v>16</v>
      </c>
      <c r="M77" s="1" t="s">
        <v>17</v>
      </c>
      <c r="N77" s="1" t="s">
        <v>25</v>
      </c>
      <c r="O77" s="1" t="s">
        <v>26</v>
      </c>
      <c r="P77" s="1" t="s">
        <v>28</v>
      </c>
      <c r="Q77" s="1" t="s">
        <v>14</v>
      </c>
      <c r="R77" s="4" t="s">
        <v>61</v>
      </c>
      <c r="S77" s="4" t="s">
        <v>61</v>
      </c>
      <c r="T77" s="1" t="s">
        <v>19</v>
      </c>
      <c r="U77" s="1" t="s">
        <v>29</v>
      </c>
      <c r="V77" s="1" t="s">
        <v>19</v>
      </c>
      <c r="W77" s="1" t="s">
        <v>29</v>
      </c>
      <c r="X77" s="1">
        <v>1.68</v>
      </c>
      <c r="Y77" s="1">
        <v>46</v>
      </c>
      <c r="Z77" s="3">
        <f t="shared" si="2"/>
        <v>16.298185941043087</v>
      </c>
      <c r="AA77" s="1">
        <v>30</v>
      </c>
      <c r="AB77" s="1">
        <v>35</v>
      </c>
      <c r="AC77" s="3">
        <f t="shared" si="3"/>
        <v>1.1666666666666667</v>
      </c>
      <c r="AD77" t="s">
        <v>182</v>
      </c>
      <c r="AE77">
        <v>78</v>
      </c>
      <c r="AF77">
        <v>14</v>
      </c>
      <c r="AG77">
        <v>36.5</v>
      </c>
      <c r="AH77">
        <v>11.5</v>
      </c>
    </row>
    <row r="78" spans="1:34" x14ac:dyDescent="0.25">
      <c r="A78" s="1">
        <v>76</v>
      </c>
      <c r="B78" s="1">
        <v>71</v>
      </c>
      <c r="C78" s="1" t="s">
        <v>32</v>
      </c>
      <c r="D78" s="1" t="s">
        <v>21</v>
      </c>
      <c r="E78" s="1" t="s">
        <v>22</v>
      </c>
      <c r="F78" s="1" t="s">
        <v>43</v>
      </c>
      <c r="G78" s="1">
        <v>2001</v>
      </c>
      <c r="H78" s="1">
        <v>13</v>
      </c>
      <c r="I78" s="1">
        <v>5</v>
      </c>
      <c r="J78" s="1" t="s">
        <v>14</v>
      </c>
      <c r="K78" s="1" t="s">
        <v>74</v>
      </c>
      <c r="L78" s="1" t="s">
        <v>16</v>
      </c>
      <c r="M78" s="1" t="s">
        <v>12</v>
      </c>
      <c r="N78" s="1" t="s">
        <v>33</v>
      </c>
      <c r="O78" s="1" t="s">
        <v>29</v>
      </c>
      <c r="P78" s="1" t="s">
        <v>29</v>
      </c>
      <c r="Q78" s="1" t="s">
        <v>19</v>
      </c>
      <c r="R78" s="1" t="s">
        <v>29</v>
      </c>
      <c r="S78" s="1" t="s">
        <v>29</v>
      </c>
      <c r="T78" s="1" t="s">
        <v>14</v>
      </c>
      <c r="U78" s="1" t="s">
        <v>46</v>
      </c>
      <c r="V78" s="1" t="s">
        <v>14</v>
      </c>
      <c r="W78" s="1" t="s">
        <v>46</v>
      </c>
      <c r="X78" s="1">
        <v>1.65</v>
      </c>
      <c r="Y78" s="1">
        <v>63</v>
      </c>
      <c r="Z78" s="3">
        <f t="shared" si="2"/>
        <v>23.140495867768596</v>
      </c>
      <c r="AA78" s="1">
        <v>108</v>
      </c>
      <c r="AB78" s="1">
        <v>89</v>
      </c>
      <c r="AC78" s="3">
        <f t="shared" si="3"/>
        <v>0.82407407407407407</v>
      </c>
      <c r="AD78" t="s">
        <v>183</v>
      </c>
      <c r="AE78">
        <v>70</v>
      </c>
      <c r="AF78">
        <v>16</v>
      </c>
      <c r="AG78">
        <v>37.4</v>
      </c>
    </row>
    <row r="79" spans="1:34" x14ac:dyDescent="0.25">
      <c r="A79" s="1">
        <v>77</v>
      </c>
      <c r="B79" s="1">
        <v>58</v>
      </c>
      <c r="C79" s="1" t="s">
        <v>11</v>
      </c>
      <c r="D79" s="1" t="s">
        <v>21</v>
      </c>
      <c r="E79" s="1" t="s">
        <v>22</v>
      </c>
      <c r="F79" s="1" t="s">
        <v>38</v>
      </c>
      <c r="G79" s="1">
        <v>2010</v>
      </c>
      <c r="H79" s="1">
        <v>4</v>
      </c>
      <c r="I79" s="1">
        <v>4</v>
      </c>
      <c r="J79" s="1" t="s">
        <v>19</v>
      </c>
      <c r="K79" s="1" t="s">
        <v>29</v>
      </c>
      <c r="L79" s="1" t="s">
        <v>16</v>
      </c>
      <c r="M79" s="1" t="s">
        <v>17</v>
      </c>
      <c r="N79" s="1" t="s">
        <v>25</v>
      </c>
      <c r="O79" s="1" t="s">
        <v>26</v>
      </c>
      <c r="P79" s="1" t="s">
        <v>28</v>
      </c>
      <c r="Q79" s="1" t="s">
        <v>14</v>
      </c>
      <c r="R79" s="4" t="s">
        <v>61</v>
      </c>
      <c r="S79" s="4" t="s">
        <v>61</v>
      </c>
      <c r="T79" s="1" t="s">
        <v>14</v>
      </c>
      <c r="U79" s="1" t="s">
        <v>75</v>
      </c>
      <c r="V79" s="1" t="s">
        <v>19</v>
      </c>
      <c r="W79" s="1" t="s">
        <v>29</v>
      </c>
      <c r="X79" s="1">
        <v>1.75</v>
      </c>
      <c r="Y79" s="1">
        <v>85</v>
      </c>
      <c r="Z79" s="3">
        <f t="shared" si="2"/>
        <v>27.755102040816325</v>
      </c>
      <c r="AA79" s="1">
        <v>42</v>
      </c>
      <c r="AB79" s="1">
        <v>45</v>
      </c>
      <c r="AC79" s="3">
        <f t="shared" si="3"/>
        <v>1.0714285714285714</v>
      </c>
      <c r="AD79" t="s">
        <v>172</v>
      </c>
      <c r="AE79">
        <v>78</v>
      </c>
      <c r="AF79">
        <v>18</v>
      </c>
      <c r="AG79">
        <v>36.799999999999997</v>
      </c>
    </row>
    <row r="80" spans="1:34" x14ac:dyDescent="0.25">
      <c r="A80" s="1">
        <v>78</v>
      </c>
      <c r="B80" s="1">
        <v>60</v>
      </c>
      <c r="C80" s="1" t="s">
        <v>11</v>
      </c>
      <c r="D80" s="1" t="s">
        <v>21</v>
      </c>
      <c r="E80" s="1" t="s">
        <v>22</v>
      </c>
      <c r="F80" s="1" t="s">
        <v>23</v>
      </c>
      <c r="G80" s="1">
        <v>2013</v>
      </c>
      <c r="H80" s="1">
        <v>1</v>
      </c>
      <c r="I80" s="1">
        <v>6</v>
      </c>
      <c r="J80" s="1" t="s">
        <v>14</v>
      </c>
      <c r="K80" s="1" t="s">
        <v>15</v>
      </c>
      <c r="L80" s="1" t="s">
        <v>16</v>
      </c>
      <c r="M80" s="1" t="s">
        <v>29</v>
      </c>
      <c r="N80" s="1" t="s">
        <v>25</v>
      </c>
      <c r="O80" s="1" t="s">
        <v>57</v>
      </c>
      <c r="P80" s="1" t="s">
        <v>28</v>
      </c>
      <c r="Q80" s="1" t="s">
        <v>14</v>
      </c>
      <c r="R80" s="4" t="s">
        <v>61</v>
      </c>
      <c r="S80" s="4" t="s">
        <v>58</v>
      </c>
      <c r="T80" s="1" t="s">
        <v>14</v>
      </c>
      <c r="U80" s="1" t="s">
        <v>47</v>
      </c>
      <c r="V80" s="1" t="s">
        <v>19</v>
      </c>
      <c r="W80" s="1" t="s">
        <v>29</v>
      </c>
      <c r="X80" s="1">
        <v>1.69</v>
      </c>
      <c r="Y80" s="1">
        <v>78</v>
      </c>
      <c r="Z80" s="3">
        <f t="shared" si="2"/>
        <v>27.309968138370508</v>
      </c>
      <c r="AA80" s="1">
        <v>102</v>
      </c>
      <c r="AB80" s="1">
        <v>106</v>
      </c>
      <c r="AC80" s="3">
        <f t="shared" si="3"/>
        <v>1.0392156862745099</v>
      </c>
      <c r="AD80" t="s">
        <v>168</v>
      </c>
      <c r="AE80">
        <v>64</v>
      </c>
      <c r="AF80">
        <v>16</v>
      </c>
      <c r="AG80">
        <v>36.799999999999997</v>
      </c>
      <c r="AH80">
        <v>8.9</v>
      </c>
    </row>
    <row r="81" spans="1:34" x14ac:dyDescent="0.25">
      <c r="A81" s="1">
        <v>79</v>
      </c>
      <c r="B81" s="1">
        <v>50</v>
      </c>
      <c r="C81" s="1" t="s">
        <v>32</v>
      </c>
      <c r="D81" s="1" t="s">
        <v>35</v>
      </c>
      <c r="E81" s="1" t="s">
        <v>22</v>
      </c>
      <c r="F81" s="1" t="s">
        <v>38</v>
      </c>
      <c r="G81" s="1">
        <v>2008</v>
      </c>
      <c r="H81" s="1">
        <v>6</v>
      </c>
      <c r="I81" s="1">
        <v>6</v>
      </c>
      <c r="J81" s="1" t="s">
        <v>19</v>
      </c>
      <c r="K81" s="1" t="s">
        <v>29</v>
      </c>
      <c r="L81" s="1" t="s">
        <v>16</v>
      </c>
      <c r="M81" s="1" t="s">
        <v>29</v>
      </c>
      <c r="N81" s="1" t="s">
        <v>33</v>
      </c>
      <c r="O81" s="1" t="s">
        <v>29</v>
      </c>
      <c r="P81" s="1" t="s">
        <v>29</v>
      </c>
      <c r="Q81" s="1" t="s">
        <v>19</v>
      </c>
      <c r="R81" s="1" t="s">
        <v>29</v>
      </c>
      <c r="S81" s="1" t="s">
        <v>29</v>
      </c>
      <c r="T81" s="1" t="s">
        <v>14</v>
      </c>
      <c r="U81" s="1" t="s">
        <v>41</v>
      </c>
      <c r="V81" s="1" t="s">
        <v>19</v>
      </c>
      <c r="W81" s="1" t="s">
        <v>29</v>
      </c>
      <c r="X81" s="1">
        <v>1.62</v>
      </c>
      <c r="Y81" s="1">
        <v>63</v>
      </c>
      <c r="Z81" s="3">
        <f t="shared" si="2"/>
        <v>24.005486968449926</v>
      </c>
      <c r="AA81" s="1">
        <v>39</v>
      </c>
      <c r="AB81" s="1">
        <v>34</v>
      </c>
      <c r="AC81" s="3">
        <f t="shared" si="3"/>
        <v>0.87179487179487181</v>
      </c>
      <c r="AD81" t="s">
        <v>173</v>
      </c>
      <c r="AE81">
        <v>74</v>
      </c>
      <c r="AF81">
        <v>16</v>
      </c>
      <c r="AG81">
        <v>36.9</v>
      </c>
      <c r="AH81">
        <v>15.4</v>
      </c>
    </row>
    <row r="82" spans="1:34" x14ac:dyDescent="0.25">
      <c r="A82" s="1">
        <v>80</v>
      </c>
      <c r="B82" s="1">
        <v>54</v>
      </c>
      <c r="C82" s="1" t="s">
        <v>32</v>
      </c>
      <c r="D82" s="1" t="s">
        <v>21</v>
      </c>
      <c r="E82" s="1" t="s">
        <v>36</v>
      </c>
      <c r="F82" s="1" t="s">
        <v>38</v>
      </c>
      <c r="G82" s="1">
        <v>2003</v>
      </c>
      <c r="H82" s="1">
        <v>10</v>
      </c>
      <c r="I82" s="1">
        <v>4</v>
      </c>
      <c r="J82" s="1" t="s">
        <v>19</v>
      </c>
      <c r="K82" s="1" t="s">
        <v>29</v>
      </c>
      <c r="L82" s="1" t="s">
        <v>16</v>
      </c>
      <c r="M82" s="1" t="s">
        <v>29</v>
      </c>
      <c r="N82" s="1" t="s">
        <v>33</v>
      </c>
      <c r="O82" s="1" t="s">
        <v>29</v>
      </c>
      <c r="P82" s="1" t="s">
        <v>29</v>
      </c>
      <c r="Q82" s="1" t="s">
        <v>19</v>
      </c>
      <c r="R82" s="1" t="s">
        <v>29</v>
      </c>
      <c r="S82" s="1" t="s">
        <v>29</v>
      </c>
      <c r="T82" s="1" t="s">
        <v>14</v>
      </c>
      <c r="U82" s="1" t="s">
        <v>47</v>
      </c>
      <c r="V82" s="1" t="s">
        <v>19</v>
      </c>
      <c r="W82" s="1" t="s">
        <v>29</v>
      </c>
      <c r="X82" s="1">
        <v>1.7</v>
      </c>
      <c r="Y82" s="1">
        <v>70</v>
      </c>
      <c r="Z82" s="3">
        <f t="shared" si="2"/>
        <v>24.221453287197235</v>
      </c>
      <c r="AA82" s="1">
        <v>110</v>
      </c>
      <c r="AB82" s="1">
        <v>95</v>
      </c>
      <c r="AC82" s="3">
        <f t="shared" si="3"/>
        <v>0.86363636363636365</v>
      </c>
      <c r="AD82" t="s">
        <v>184</v>
      </c>
      <c r="AE82">
        <v>80</v>
      </c>
      <c r="AF82">
        <v>20</v>
      </c>
      <c r="AG82">
        <v>37.1</v>
      </c>
      <c r="AH82">
        <v>10.4</v>
      </c>
    </row>
    <row r="83" spans="1:34" x14ac:dyDescent="0.25">
      <c r="A83" s="1">
        <v>81</v>
      </c>
      <c r="B83" s="1">
        <v>78</v>
      </c>
      <c r="C83" s="1" t="s">
        <v>32</v>
      </c>
      <c r="D83" s="1" t="s">
        <v>21</v>
      </c>
      <c r="E83" s="1" t="s">
        <v>22</v>
      </c>
      <c r="F83" s="1" t="s">
        <v>38</v>
      </c>
      <c r="G83" s="1">
        <v>2010</v>
      </c>
      <c r="H83" s="1">
        <v>4</v>
      </c>
      <c r="I83" s="1">
        <v>4</v>
      </c>
      <c r="J83" s="1" t="s">
        <v>14</v>
      </c>
      <c r="K83" s="1" t="s">
        <v>15</v>
      </c>
      <c r="L83" s="1" t="s">
        <v>16</v>
      </c>
      <c r="M83" s="1" t="s">
        <v>29</v>
      </c>
      <c r="N83" s="1" t="s">
        <v>33</v>
      </c>
      <c r="O83" s="1" t="s">
        <v>29</v>
      </c>
      <c r="P83" s="1" t="s">
        <v>29</v>
      </c>
      <c r="Q83" s="1" t="s">
        <v>19</v>
      </c>
      <c r="R83" s="1" t="s">
        <v>29</v>
      </c>
      <c r="S83" s="1" t="s">
        <v>29</v>
      </c>
      <c r="T83" s="1" t="s">
        <v>19</v>
      </c>
      <c r="U83" s="1" t="s">
        <v>29</v>
      </c>
      <c r="V83" s="1" t="s">
        <v>14</v>
      </c>
      <c r="W83" s="1" t="s">
        <v>49</v>
      </c>
      <c r="X83" s="1">
        <v>1.6</v>
      </c>
      <c r="Y83" s="1">
        <v>64</v>
      </c>
      <c r="Z83" s="3">
        <f t="shared" si="2"/>
        <v>24.999999999999996</v>
      </c>
      <c r="AA83" s="1">
        <v>43</v>
      </c>
      <c r="AB83" s="1">
        <v>38</v>
      </c>
      <c r="AC83" s="3">
        <f t="shared" si="3"/>
        <v>0.88372093023255816</v>
      </c>
      <c r="AD83" t="s">
        <v>185</v>
      </c>
      <c r="AE83">
        <v>80</v>
      </c>
      <c r="AF83">
        <v>18</v>
      </c>
      <c r="AG83">
        <v>36.9</v>
      </c>
      <c r="AH83">
        <v>7</v>
      </c>
    </row>
    <row r="84" spans="1:34" x14ac:dyDescent="0.25">
      <c r="A84" s="1">
        <v>82</v>
      </c>
      <c r="B84" s="1">
        <v>64</v>
      </c>
      <c r="C84" s="1" t="s">
        <v>32</v>
      </c>
      <c r="D84" s="1" t="s">
        <v>42</v>
      </c>
      <c r="E84" s="1" t="s">
        <v>22</v>
      </c>
      <c r="F84" s="1" t="s">
        <v>43</v>
      </c>
      <c r="G84" s="1">
        <v>2002</v>
      </c>
      <c r="H84" s="1">
        <v>12</v>
      </c>
      <c r="I84" s="1">
        <v>4</v>
      </c>
      <c r="J84" s="1" t="s">
        <v>19</v>
      </c>
      <c r="K84" s="1" t="s">
        <v>29</v>
      </c>
      <c r="L84" s="1" t="s">
        <v>16</v>
      </c>
      <c r="M84" s="1" t="s">
        <v>29</v>
      </c>
      <c r="N84" s="1" t="s">
        <v>33</v>
      </c>
      <c r="O84" s="1" t="s">
        <v>29</v>
      </c>
      <c r="P84" s="1" t="s">
        <v>29</v>
      </c>
      <c r="Q84" s="1" t="s">
        <v>19</v>
      </c>
      <c r="R84" s="1" t="s">
        <v>29</v>
      </c>
      <c r="S84" s="1" t="s">
        <v>29</v>
      </c>
      <c r="T84" s="1" t="s">
        <v>19</v>
      </c>
      <c r="U84" s="1" t="s">
        <v>29</v>
      </c>
      <c r="V84" s="1" t="s">
        <v>19</v>
      </c>
      <c r="W84" s="1" t="s">
        <v>29</v>
      </c>
      <c r="X84" s="1">
        <v>1.69</v>
      </c>
      <c r="Y84" s="1">
        <v>56</v>
      </c>
      <c r="Z84" s="3">
        <f t="shared" si="2"/>
        <v>19.607156612163443</v>
      </c>
      <c r="AA84" s="1">
        <v>97</v>
      </c>
      <c r="AB84" s="1">
        <v>83</v>
      </c>
      <c r="AC84" s="3">
        <f t="shared" si="3"/>
        <v>0.85567010309278346</v>
      </c>
      <c r="AD84" t="s">
        <v>171</v>
      </c>
      <c r="AE84">
        <v>72</v>
      </c>
      <c r="AF84">
        <v>18</v>
      </c>
      <c r="AG84">
        <v>36.799999999999997</v>
      </c>
      <c r="AH84">
        <v>8.6</v>
      </c>
    </row>
    <row r="85" spans="1:34" x14ac:dyDescent="0.25">
      <c r="A85" s="1">
        <v>83</v>
      </c>
      <c r="B85" s="1">
        <v>57</v>
      </c>
      <c r="C85" s="1" t="s">
        <v>11</v>
      </c>
      <c r="D85" s="1" t="s">
        <v>21</v>
      </c>
      <c r="E85" s="1" t="s">
        <v>36</v>
      </c>
      <c r="F85" s="1" t="s">
        <v>50</v>
      </c>
      <c r="G85" s="1">
        <v>2009</v>
      </c>
      <c r="H85" s="1">
        <v>5</v>
      </c>
      <c r="I85" s="1">
        <v>3</v>
      </c>
      <c r="J85" s="1" t="s">
        <v>19</v>
      </c>
      <c r="K85" s="1" t="s">
        <v>29</v>
      </c>
      <c r="L85" s="1" t="s">
        <v>16</v>
      </c>
      <c r="M85" s="1" t="s">
        <v>16</v>
      </c>
      <c r="N85" s="1" t="s">
        <v>33</v>
      </c>
      <c r="O85" s="1" t="s">
        <v>29</v>
      </c>
      <c r="P85" s="1" t="s">
        <v>29</v>
      </c>
      <c r="Q85" s="1" t="s">
        <v>14</v>
      </c>
      <c r="R85" s="4" t="s">
        <v>58</v>
      </c>
      <c r="S85" s="4" t="s">
        <v>58</v>
      </c>
      <c r="T85" s="1" t="s">
        <v>19</v>
      </c>
      <c r="U85" s="1" t="s">
        <v>29</v>
      </c>
      <c r="V85" s="1" t="s">
        <v>19</v>
      </c>
      <c r="W85" s="1" t="s">
        <v>29</v>
      </c>
      <c r="X85" s="1">
        <v>1.74</v>
      </c>
      <c r="Y85" s="1">
        <v>67</v>
      </c>
      <c r="Z85" s="3">
        <f t="shared" si="2"/>
        <v>22.129739727837229</v>
      </c>
      <c r="AA85" s="1">
        <v>39</v>
      </c>
      <c r="AB85" s="1">
        <v>34</v>
      </c>
      <c r="AC85" s="3">
        <f t="shared" si="3"/>
        <v>0.87179487179487181</v>
      </c>
      <c r="AD85" t="s">
        <v>186</v>
      </c>
      <c r="AE85">
        <v>80</v>
      </c>
      <c r="AF85">
        <v>16</v>
      </c>
      <c r="AG85">
        <v>37</v>
      </c>
      <c r="AH85">
        <v>7</v>
      </c>
    </row>
    <row r="86" spans="1:34" x14ac:dyDescent="0.25">
      <c r="A86" s="1">
        <v>84</v>
      </c>
      <c r="B86" s="1">
        <v>80</v>
      </c>
      <c r="C86" s="1" t="s">
        <v>32</v>
      </c>
      <c r="D86" s="1" t="s">
        <v>21</v>
      </c>
      <c r="E86" s="1" t="s">
        <v>37</v>
      </c>
      <c r="F86" s="1" t="s">
        <v>43</v>
      </c>
      <c r="G86" s="1">
        <v>2011</v>
      </c>
      <c r="H86" s="1">
        <v>3</v>
      </c>
      <c r="I86" s="1">
        <v>7</v>
      </c>
      <c r="J86" s="1" t="s">
        <v>19</v>
      </c>
      <c r="K86" s="1" t="s">
        <v>15</v>
      </c>
      <c r="L86" s="1" t="s">
        <v>16</v>
      </c>
      <c r="M86" s="1" t="s">
        <v>16</v>
      </c>
      <c r="N86" s="1" t="s">
        <v>33</v>
      </c>
      <c r="O86" s="1" t="s">
        <v>29</v>
      </c>
      <c r="P86" s="1" t="s">
        <v>29</v>
      </c>
      <c r="Q86" s="1" t="s">
        <v>19</v>
      </c>
      <c r="R86" s="1" t="s">
        <v>29</v>
      </c>
      <c r="S86" s="1" t="s">
        <v>29</v>
      </c>
      <c r="T86" s="1" t="s">
        <v>19</v>
      </c>
      <c r="U86" s="1" t="s">
        <v>29</v>
      </c>
      <c r="V86" s="1" t="s">
        <v>14</v>
      </c>
      <c r="W86" s="1" t="s">
        <v>76</v>
      </c>
      <c r="X86" s="1">
        <v>1.5</v>
      </c>
      <c r="Y86" s="1">
        <v>55</v>
      </c>
      <c r="Z86" s="3">
        <f t="shared" si="2"/>
        <v>24.444444444444443</v>
      </c>
      <c r="AA86" s="1">
        <v>105</v>
      </c>
      <c r="AB86" s="1">
        <v>97</v>
      </c>
      <c r="AC86" s="3">
        <v>2.0777777777777779</v>
      </c>
      <c r="AD86" t="s">
        <v>187</v>
      </c>
      <c r="AE86">
        <v>100</v>
      </c>
      <c r="AF86">
        <v>20</v>
      </c>
      <c r="AG86">
        <v>37.200000000000003</v>
      </c>
      <c r="AH86">
        <v>4.9000000000000004</v>
      </c>
    </row>
    <row r="87" spans="1:34" x14ac:dyDescent="0.25">
      <c r="A87" s="1">
        <v>85</v>
      </c>
      <c r="B87" s="1">
        <v>40</v>
      </c>
      <c r="C87" s="1" t="s">
        <v>32</v>
      </c>
      <c r="D87" s="1" t="s">
        <v>21</v>
      </c>
      <c r="E87" s="1" t="s">
        <v>22</v>
      </c>
      <c r="F87" s="1" t="s">
        <v>38</v>
      </c>
      <c r="G87" s="1">
        <v>2009</v>
      </c>
      <c r="H87" s="1">
        <v>5</v>
      </c>
      <c r="I87" s="1">
        <v>4</v>
      </c>
      <c r="J87" s="1" t="s">
        <v>14</v>
      </c>
      <c r="K87" s="1" t="s">
        <v>15</v>
      </c>
      <c r="L87" s="1" t="s">
        <v>18</v>
      </c>
      <c r="M87" s="1" t="s">
        <v>29</v>
      </c>
      <c r="N87" s="1" t="s">
        <v>33</v>
      </c>
      <c r="O87" s="1" t="s">
        <v>29</v>
      </c>
      <c r="P87" s="1" t="s">
        <v>29</v>
      </c>
      <c r="Q87" s="1" t="s">
        <v>19</v>
      </c>
      <c r="R87" s="1" t="s">
        <v>29</v>
      </c>
      <c r="S87" s="1" t="s">
        <v>29</v>
      </c>
      <c r="T87" s="1" t="s">
        <v>14</v>
      </c>
      <c r="U87" s="1" t="s">
        <v>53</v>
      </c>
      <c r="V87" s="1" t="s">
        <v>14</v>
      </c>
      <c r="W87" s="1" t="s">
        <v>59</v>
      </c>
      <c r="X87" s="1">
        <v>1.61</v>
      </c>
      <c r="Y87" s="1">
        <v>70</v>
      </c>
      <c r="Z87" s="3">
        <f t="shared" si="2"/>
        <v>27.005130974885226</v>
      </c>
      <c r="AA87" s="1">
        <v>43</v>
      </c>
      <c r="AB87" s="1">
        <v>40</v>
      </c>
      <c r="AC87" s="3">
        <f t="shared" si="3"/>
        <v>0.93023255813953487</v>
      </c>
      <c r="AD87" t="s">
        <v>178</v>
      </c>
      <c r="AE87">
        <v>82</v>
      </c>
      <c r="AF87">
        <v>22</v>
      </c>
      <c r="AG87">
        <v>36.799999999999997</v>
      </c>
      <c r="AH87">
        <v>8.9</v>
      </c>
    </row>
    <row r="88" spans="1:34" x14ac:dyDescent="0.25">
      <c r="A88" s="1">
        <v>86</v>
      </c>
      <c r="B88" s="1">
        <v>87</v>
      </c>
      <c r="C88" s="1" t="s">
        <v>11</v>
      </c>
      <c r="D88" s="1" t="s">
        <v>42</v>
      </c>
      <c r="E88" s="1" t="s">
        <v>22</v>
      </c>
      <c r="F88" s="1" t="s">
        <v>38</v>
      </c>
      <c r="G88" s="1">
        <v>1996</v>
      </c>
      <c r="H88" s="1">
        <v>18</v>
      </c>
      <c r="I88" s="1">
        <v>3</v>
      </c>
      <c r="J88" s="1" t="s">
        <v>19</v>
      </c>
      <c r="K88" s="1" t="s">
        <v>29</v>
      </c>
      <c r="L88" s="1" t="s">
        <v>16</v>
      </c>
      <c r="M88" s="1" t="s">
        <v>29</v>
      </c>
      <c r="N88" s="1" t="s">
        <v>25</v>
      </c>
      <c r="O88" s="1" t="s">
        <v>26</v>
      </c>
      <c r="P88" s="1" t="s">
        <v>28</v>
      </c>
      <c r="Q88" s="1" t="s">
        <v>14</v>
      </c>
      <c r="R88" s="4" t="s">
        <v>61</v>
      </c>
      <c r="S88" s="4" t="s">
        <v>58</v>
      </c>
      <c r="T88" s="1" t="s">
        <v>19</v>
      </c>
      <c r="U88" s="1" t="s">
        <v>29</v>
      </c>
      <c r="V88" s="1" t="s">
        <v>19</v>
      </c>
      <c r="W88" s="1" t="s">
        <v>29</v>
      </c>
      <c r="X88" s="1">
        <v>1.71</v>
      </c>
      <c r="Y88" s="1">
        <v>59</v>
      </c>
      <c r="Z88" s="3">
        <f t="shared" si="2"/>
        <v>20.177148524332274</v>
      </c>
      <c r="AA88" s="1">
        <v>41</v>
      </c>
      <c r="AB88" s="1">
        <v>35</v>
      </c>
      <c r="AC88" s="3">
        <f t="shared" si="3"/>
        <v>0.85365853658536583</v>
      </c>
      <c r="AD88" t="s">
        <v>188</v>
      </c>
      <c r="AE88">
        <v>70</v>
      </c>
      <c r="AF88">
        <v>18</v>
      </c>
      <c r="AG88">
        <v>36.799999999999997</v>
      </c>
    </row>
    <row r="89" spans="1:34" x14ac:dyDescent="0.25">
      <c r="A89" s="1">
        <v>87</v>
      </c>
      <c r="B89" s="1">
        <v>71</v>
      </c>
      <c r="C89" s="1" t="s">
        <v>32</v>
      </c>
      <c r="D89" s="1" t="s">
        <v>42</v>
      </c>
      <c r="E89" s="1" t="s">
        <v>37</v>
      </c>
      <c r="F89" s="1" t="s">
        <v>43</v>
      </c>
      <c r="G89" s="1">
        <v>2012</v>
      </c>
      <c r="H89" s="1">
        <v>2</v>
      </c>
      <c r="I89" s="1">
        <v>6</v>
      </c>
      <c r="J89" s="1" t="s">
        <v>14</v>
      </c>
      <c r="K89" s="1" t="s">
        <v>15</v>
      </c>
      <c r="L89" s="1" t="s">
        <v>16</v>
      </c>
      <c r="M89" s="1" t="s">
        <v>17</v>
      </c>
      <c r="N89" s="1" t="s">
        <v>33</v>
      </c>
      <c r="O89" s="1" t="s">
        <v>29</v>
      </c>
      <c r="P89" s="1" t="s">
        <v>29</v>
      </c>
      <c r="Q89" s="1" t="s">
        <v>19</v>
      </c>
      <c r="R89" s="1" t="s">
        <v>29</v>
      </c>
      <c r="S89" s="1" t="s">
        <v>29</v>
      </c>
      <c r="T89" s="1" t="s">
        <v>19</v>
      </c>
      <c r="U89" s="1" t="s">
        <v>29</v>
      </c>
      <c r="V89" s="1" t="s">
        <v>14</v>
      </c>
      <c r="W89" s="1" t="s">
        <v>59</v>
      </c>
      <c r="X89" s="1">
        <v>1.68</v>
      </c>
      <c r="Y89" s="1">
        <v>83</v>
      </c>
      <c r="Z89" s="3">
        <f t="shared" si="2"/>
        <v>29.407596371882089</v>
      </c>
      <c r="AA89" s="1">
        <v>117</v>
      </c>
      <c r="AB89" s="1">
        <v>109</v>
      </c>
      <c r="AC89" s="3">
        <f t="shared" si="3"/>
        <v>0.93162393162393164</v>
      </c>
      <c r="AD89" t="s">
        <v>189</v>
      </c>
      <c r="AE89">
        <v>80</v>
      </c>
      <c r="AF89">
        <v>16</v>
      </c>
      <c r="AG89">
        <v>37</v>
      </c>
      <c r="AH89">
        <v>11.7</v>
      </c>
    </row>
    <row r="90" spans="1:34" x14ac:dyDescent="0.25">
      <c r="A90" s="1">
        <v>88</v>
      </c>
      <c r="B90" s="1">
        <v>82</v>
      </c>
      <c r="C90" s="1" t="s">
        <v>32</v>
      </c>
      <c r="D90" s="1" t="s">
        <v>42</v>
      </c>
      <c r="E90" s="1" t="s">
        <v>22</v>
      </c>
      <c r="F90" s="1" t="s">
        <v>43</v>
      </c>
      <c r="G90" s="1">
        <v>2011</v>
      </c>
      <c r="H90" s="1">
        <v>3</v>
      </c>
      <c r="I90" s="1">
        <v>4</v>
      </c>
      <c r="J90" s="1" t="s">
        <v>14</v>
      </c>
      <c r="K90" s="1" t="s">
        <v>15</v>
      </c>
      <c r="L90" s="1" t="s">
        <v>16</v>
      </c>
      <c r="M90" s="1" t="s">
        <v>17</v>
      </c>
      <c r="N90" s="1" t="s">
        <v>33</v>
      </c>
      <c r="O90" s="1" t="s">
        <v>29</v>
      </c>
      <c r="P90" s="1" t="s">
        <v>29</v>
      </c>
      <c r="Q90" s="1" t="s">
        <v>19</v>
      </c>
      <c r="R90" s="1" t="s">
        <v>29</v>
      </c>
      <c r="S90" s="1" t="s">
        <v>29</v>
      </c>
      <c r="T90" s="1" t="s">
        <v>14</v>
      </c>
      <c r="U90" s="1" t="s">
        <v>49</v>
      </c>
      <c r="V90" s="1" t="s">
        <v>19</v>
      </c>
      <c r="W90" s="1" t="s">
        <v>29</v>
      </c>
      <c r="X90" s="1">
        <v>1.72</v>
      </c>
      <c r="Y90" s="1">
        <v>78</v>
      </c>
      <c r="Z90" s="3">
        <f t="shared" si="2"/>
        <v>26.365603028664147</v>
      </c>
      <c r="AA90" s="1">
        <v>76</v>
      </c>
      <c r="AB90" s="1">
        <v>115</v>
      </c>
      <c r="AC90" s="3">
        <f t="shared" si="3"/>
        <v>1.513157894736842</v>
      </c>
      <c r="AD90" t="s">
        <v>190</v>
      </c>
      <c r="AE90">
        <v>72</v>
      </c>
      <c r="AF90">
        <v>16</v>
      </c>
      <c r="AG90">
        <v>36.5</v>
      </c>
      <c r="AH90">
        <v>8.4</v>
      </c>
    </row>
    <row r="91" spans="1:34" x14ac:dyDescent="0.25">
      <c r="A91" s="1">
        <v>89</v>
      </c>
      <c r="B91" s="1">
        <v>26</v>
      </c>
      <c r="C91" s="1" t="s">
        <v>11</v>
      </c>
      <c r="D91" s="1" t="s">
        <v>35</v>
      </c>
      <c r="E91" s="1" t="s">
        <v>22</v>
      </c>
      <c r="F91" s="1" t="s">
        <v>50</v>
      </c>
      <c r="G91" s="1">
        <v>2012</v>
      </c>
      <c r="H91" s="1">
        <v>2</v>
      </c>
      <c r="I91" s="1">
        <v>6</v>
      </c>
      <c r="J91" s="1" t="s">
        <v>14</v>
      </c>
      <c r="K91" s="1" t="s">
        <v>77</v>
      </c>
      <c r="L91" s="1" t="s">
        <v>18</v>
      </c>
      <c r="M91" s="1" t="s">
        <v>29</v>
      </c>
      <c r="N91" s="1" t="s">
        <v>78</v>
      </c>
      <c r="O91" s="1" t="s">
        <v>26</v>
      </c>
      <c r="P91" s="1" t="s">
        <v>28</v>
      </c>
      <c r="Q91" s="1" t="s">
        <v>19</v>
      </c>
      <c r="R91" s="1" t="s">
        <v>29</v>
      </c>
      <c r="S91" s="1" t="s">
        <v>29</v>
      </c>
      <c r="T91" s="1" t="s">
        <v>14</v>
      </c>
      <c r="U91" s="1" t="s">
        <v>79</v>
      </c>
      <c r="V91" s="1" t="s">
        <v>19</v>
      </c>
      <c r="W91" s="1" t="s">
        <v>29</v>
      </c>
      <c r="X91" s="1">
        <v>1.56</v>
      </c>
      <c r="Y91" s="1">
        <v>52.5</v>
      </c>
      <c r="Z91" s="3">
        <f t="shared" si="2"/>
        <v>21.572978303747533</v>
      </c>
      <c r="AA91" s="1">
        <v>32</v>
      </c>
      <c r="AB91" s="1">
        <v>35</v>
      </c>
      <c r="AC91" s="3">
        <f t="shared" si="3"/>
        <v>1.09375</v>
      </c>
      <c r="AD91" t="s">
        <v>191</v>
      </c>
      <c r="AE91">
        <v>68</v>
      </c>
      <c r="AF91">
        <v>16</v>
      </c>
      <c r="AG91">
        <v>36.799999999999997</v>
      </c>
      <c r="AH91">
        <v>5.2</v>
      </c>
    </row>
    <row r="92" spans="1:34" x14ac:dyDescent="0.25">
      <c r="A92" s="1">
        <v>90</v>
      </c>
      <c r="B92" s="1">
        <v>70</v>
      </c>
      <c r="C92" s="1" t="s">
        <v>32</v>
      </c>
      <c r="D92" s="1" t="s">
        <v>42</v>
      </c>
      <c r="E92" s="1" t="s">
        <v>36</v>
      </c>
      <c r="F92" s="1" t="s">
        <v>23</v>
      </c>
      <c r="G92" s="1">
        <v>2006</v>
      </c>
      <c r="H92" s="1">
        <v>8</v>
      </c>
      <c r="I92" s="1">
        <v>5</v>
      </c>
      <c r="J92" s="1" t="s">
        <v>14</v>
      </c>
      <c r="K92" s="1" t="s">
        <v>15</v>
      </c>
      <c r="L92" s="1" t="s">
        <v>60</v>
      </c>
      <c r="M92" s="1" t="s">
        <v>17</v>
      </c>
      <c r="N92" s="1" t="s">
        <v>33</v>
      </c>
      <c r="O92" s="1" t="s">
        <v>29</v>
      </c>
      <c r="P92" s="1" t="s">
        <v>29</v>
      </c>
      <c r="Q92" s="1" t="s">
        <v>19</v>
      </c>
      <c r="R92" s="1" t="s">
        <v>29</v>
      </c>
      <c r="S92" s="1" t="s">
        <v>29</v>
      </c>
      <c r="T92" s="1" t="s">
        <v>14</v>
      </c>
      <c r="U92" s="1" t="s">
        <v>53</v>
      </c>
      <c r="V92" s="1" t="s">
        <v>19</v>
      </c>
      <c r="W92" s="1" t="s">
        <v>29</v>
      </c>
      <c r="X92" s="1">
        <v>1.5</v>
      </c>
      <c r="Y92" s="1">
        <v>65</v>
      </c>
      <c r="Z92" s="3">
        <f t="shared" si="2"/>
        <v>28.888888888888889</v>
      </c>
      <c r="AA92" s="1">
        <v>108</v>
      </c>
      <c r="AB92" s="1">
        <v>94</v>
      </c>
      <c r="AC92" s="3">
        <f t="shared" si="3"/>
        <v>0.87037037037037035</v>
      </c>
      <c r="AD92" t="s">
        <v>171</v>
      </c>
      <c r="AE92">
        <v>66</v>
      </c>
      <c r="AF92">
        <v>18</v>
      </c>
      <c r="AG92">
        <v>36.799999999999997</v>
      </c>
      <c r="AH92">
        <v>3.4</v>
      </c>
    </row>
    <row r="93" spans="1:34" x14ac:dyDescent="0.25">
      <c r="A93" s="1">
        <v>91</v>
      </c>
      <c r="B93" s="1">
        <v>44</v>
      </c>
      <c r="C93" s="1" t="s">
        <v>11</v>
      </c>
      <c r="D93" s="1" t="s">
        <v>21</v>
      </c>
      <c r="E93" s="1" t="s">
        <v>22</v>
      </c>
      <c r="F93" s="1" t="s">
        <v>38</v>
      </c>
      <c r="G93" s="1">
        <v>2012</v>
      </c>
      <c r="H93" s="1">
        <v>2</v>
      </c>
      <c r="I93" s="1">
        <v>4</v>
      </c>
      <c r="J93" s="1" t="s">
        <v>14</v>
      </c>
      <c r="K93" s="1" t="s">
        <v>15</v>
      </c>
      <c r="L93" s="1" t="s">
        <v>16</v>
      </c>
      <c r="M93" s="1" t="s">
        <v>12</v>
      </c>
      <c r="N93" s="1" t="s">
        <v>33</v>
      </c>
      <c r="O93" s="1" t="s">
        <v>29</v>
      </c>
      <c r="P93" s="1" t="s">
        <v>29</v>
      </c>
      <c r="Q93" s="1" t="s">
        <v>19</v>
      </c>
      <c r="R93" s="1" t="s">
        <v>29</v>
      </c>
      <c r="S93" s="1" t="s">
        <v>29</v>
      </c>
      <c r="T93" s="1" t="s">
        <v>14</v>
      </c>
      <c r="U93" s="1" t="s">
        <v>44</v>
      </c>
      <c r="V93" s="1" t="s">
        <v>14</v>
      </c>
      <c r="W93" s="5" t="s">
        <v>44</v>
      </c>
      <c r="X93" s="1">
        <v>1.75</v>
      </c>
      <c r="Y93" s="1">
        <v>71</v>
      </c>
      <c r="Z93" s="3">
        <f t="shared" si="2"/>
        <v>23.183673469387756</v>
      </c>
      <c r="AA93" s="1">
        <v>89</v>
      </c>
      <c r="AB93" s="1">
        <v>100</v>
      </c>
      <c r="AC93" s="3">
        <f t="shared" si="3"/>
        <v>1.1235955056179776</v>
      </c>
      <c r="AD93" t="s">
        <v>192</v>
      </c>
      <c r="AE93">
        <v>76</v>
      </c>
      <c r="AF93">
        <v>18</v>
      </c>
      <c r="AG93">
        <v>37.200000000000003</v>
      </c>
      <c r="AH93">
        <v>5.9</v>
      </c>
    </row>
    <row r="94" spans="1:34" x14ac:dyDescent="0.25">
      <c r="A94" s="1">
        <v>92</v>
      </c>
      <c r="B94" s="1">
        <v>59</v>
      </c>
      <c r="C94" s="1" t="s">
        <v>11</v>
      </c>
      <c r="D94" s="1" t="s">
        <v>21</v>
      </c>
      <c r="E94" s="1" t="s">
        <v>36</v>
      </c>
      <c r="F94" s="1" t="s">
        <v>38</v>
      </c>
      <c r="G94" s="1">
        <v>2000</v>
      </c>
      <c r="H94" s="1">
        <v>14</v>
      </c>
      <c r="I94" s="1">
        <v>4</v>
      </c>
      <c r="J94" s="1" t="s">
        <v>14</v>
      </c>
      <c r="K94" s="1" t="s">
        <v>15</v>
      </c>
      <c r="L94" s="1" t="s">
        <v>16</v>
      </c>
      <c r="M94" s="1" t="s">
        <v>29</v>
      </c>
      <c r="N94" s="1" t="s">
        <v>25</v>
      </c>
      <c r="O94" s="1" t="s">
        <v>26</v>
      </c>
      <c r="P94" s="1" t="s">
        <v>28</v>
      </c>
      <c r="Q94" s="1" t="s">
        <v>14</v>
      </c>
      <c r="R94" s="1" t="s">
        <v>58</v>
      </c>
      <c r="S94" s="1" t="s">
        <v>58</v>
      </c>
      <c r="T94" s="1" t="s">
        <v>14</v>
      </c>
      <c r="U94" s="1" t="s">
        <v>59</v>
      </c>
      <c r="V94" s="1" t="s">
        <v>14</v>
      </c>
      <c r="W94" s="1" t="s">
        <v>59</v>
      </c>
      <c r="X94" s="1">
        <v>1.81</v>
      </c>
      <c r="Y94" s="1">
        <v>77</v>
      </c>
      <c r="Z94" s="3">
        <f t="shared" si="2"/>
        <v>23.503556057507403</v>
      </c>
      <c r="AA94" s="1">
        <v>44</v>
      </c>
      <c r="AB94" s="1">
        <v>49</v>
      </c>
      <c r="AC94" s="3">
        <f t="shared" si="3"/>
        <v>1.1136363636363635</v>
      </c>
      <c r="AD94" t="s">
        <v>190</v>
      </c>
      <c r="AE94">
        <v>67</v>
      </c>
      <c r="AF94">
        <v>16</v>
      </c>
      <c r="AG94">
        <v>36.700000000000003</v>
      </c>
      <c r="AH94">
        <v>9.8000000000000007</v>
      </c>
    </row>
    <row r="95" spans="1:34" x14ac:dyDescent="0.25">
      <c r="A95" s="1">
        <v>93</v>
      </c>
      <c r="B95" s="1">
        <v>85</v>
      </c>
      <c r="C95" s="1" t="s">
        <v>32</v>
      </c>
      <c r="D95" s="1" t="s">
        <v>42</v>
      </c>
      <c r="E95" s="1" t="s">
        <v>22</v>
      </c>
      <c r="F95" s="1" t="s">
        <v>43</v>
      </c>
      <c r="G95" s="1">
        <v>2003</v>
      </c>
      <c r="H95" s="1">
        <v>11</v>
      </c>
      <c r="I95" s="1">
        <v>3</v>
      </c>
      <c r="J95" s="1" t="s">
        <v>19</v>
      </c>
      <c r="K95" s="1" t="s">
        <v>29</v>
      </c>
      <c r="L95" s="1" t="s">
        <v>16</v>
      </c>
      <c r="M95" s="1" t="s">
        <v>29</v>
      </c>
      <c r="N95" s="1" t="s">
        <v>33</v>
      </c>
      <c r="O95" s="1" t="s">
        <v>29</v>
      </c>
      <c r="P95" s="1" t="s">
        <v>29</v>
      </c>
      <c r="Q95" s="1" t="s">
        <v>19</v>
      </c>
      <c r="R95" s="1" t="s">
        <v>29</v>
      </c>
      <c r="S95" s="1" t="s">
        <v>29</v>
      </c>
      <c r="T95" s="1" t="s">
        <v>19</v>
      </c>
      <c r="U95" s="1" t="s">
        <v>29</v>
      </c>
      <c r="V95" s="1" t="s">
        <v>19</v>
      </c>
      <c r="W95" s="1" t="s">
        <v>29</v>
      </c>
      <c r="X95" s="1">
        <v>1.5</v>
      </c>
      <c r="Y95" s="1">
        <v>48</v>
      </c>
      <c r="Z95" s="3">
        <f t="shared" si="2"/>
        <v>21.333333333333332</v>
      </c>
      <c r="AA95" s="1">
        <v>100</v>
      </c>
      <c r="AB95" s="1">
        <v>83</v>
      </c>
      <c r="AC95" s="3">
        <f t="shared" si="3"/>
        <v>0.83</v>
      </c>
      <c r="AD95" t="s">
        <v>188</v>
      </c>
      <c r="AE95">
        <v>70</v>
      </c>
      <c r="AF95">
        <v>18</v>
      </c>
      <c r="AG95">
        <v>36.4</v>
      </c>
      <c r="AH95">
        <v>4.9000000000000004</v>
      </c>
    </row>
    <row r="96" spans="1:34" x14ac:dyDescent="0.25">
      <c r="A96" s="1">
        <v>94</v>
      </c>
      <c r="B96" s="1">
        <v>63</v>
      </c>
      <c r="C96" s="1" t="s">
        <v>32</v>
      </c>
      <c r="D96" s="1" t="s">
        <v>21</v>
      </c>
      <c r="E96" s="1" t="s">
        <v>22</v>
      </c>
      <c r="F96" s="1" t="s">
        <v>38</v>
      </c>
      <c r="G96" s="1">
        <v>2000</v>
      </c>
      <c r="H96" s="1">
        <v>14</v>
      </c>
      <c r="I96" s="1">
        <v>3</v>
      </c>
      <c r="J96" s="1" t="s">
        <v>14</v>
      </c>
      <c r="K96" s="1" t="s">
        <v>15</v>
      </c>
      <c r="L96" s="1" t="s">
        <v>16</v>
      </c>
      <c r="M96" s="1" t="s">
        <v>17</v>
      </c>
      <c r="N96" s="1" t="s">
        <v>33</v>
      </c>
      <c r="O96" s="1" t="s">
        <v>29</v>
      </c>
      <c r="P96" s="1" t="s">
        <v>29</v>
      </c>
      <c r="Q96" s="1" t="s">
        <v>19</v>
      </c>
      <c r="R96" s="1" t="s">
        <v>29</v>
      </c>
      <c r="S96" s="1" t="s">
        <v>29</v>
      </c>
      <c r="T96" s="1" t="s">
        <v>19</v>
      </c>
      <c r="U96" s="1" t="s">
        <v>29</v>
      </c>
      <c r="V96" s="1" t="s">
        <v>19</v>
      </c>
      <c r="W96" s="1" t="s">
        <v>29</v>
      </c>
      <c r="X96" s="1">
        <v>1.53</v>
      </c>
      <c r="Y96" s="1">
        <v>58</v>
      </c>
      <c r="Z96" s="3">
        <f t="shared" si="2"/>
        <v>24.776795249690291</v>
      </c>
      <c r="AA96" s="1">
        <v>109.5</v>
      </c>
      <c r="AB96" s="1">
        <v>94.5</v>
      </c>
      <c r="AC96" s="3">
        <f t="shared" si="3"/>
        <v>0.86301369863013699</v>
      </c>
      <c r="AD96" t="s">
        <v>193</v>
      </c>
      <c r="AE96">
        <v>76</v>
      </c>
      <c r="AF96">
        <v>20</v>
      </c>
      <c r="AG96">
        <v>36.799999999999997</v>
      </c>
      <c r="AH96">
        <v>9.4</v>
      </c>
    </row>
    <row r="97" spans="1:34" x14ac:dyDescent="0.25">
      <c r="A97" s="1">
        <v>95</v>
      </c>
      <c r="B97" s="1">
        <v>55</v>
      </c>
      <c r="C97" s="1" t="s">
        <v>32</v>
      </c>
      <c r="D97" s="1" t="s">
        <v>21</v>
      </c>
      <c r="E97" s="1" t="s">
        <v>36</v>
      </c>
      <c r="F97" s="1" t="s">
        <v>38</v>
      </c>
      <c r="G97" s="1">
        <v>2009</v>
      </c>
      <c r="H97" s="1">
        <v>5</v>
      </c>
      <c r="I97" s="1">
        <v>4</v>
      </c>
      <c r="J97" s="1" t="s">
        <v>14</v>
      </c>
      <c r="K97" s="1" t="s">
        <v>15</v>
      </c>
      <c r="L97" s="1" t="s">
        <v>16</v>
      </c>
      <c r="M97" s="1" t="s">
        <v>29</v>
      </c>
      <c r="N97" s="1" t="s">
        <v>33</v>
      </c>
      <c r="O97" s="1" t="s">
        <v>29</v>
      </c>
      <c r="P97" s="1" t="s">
        <v>29</v>
      </c>
      <c r="Q97" s="1" t="s">
        <v>19</v>
      </c>
      <c r="R97" s="1" t="s">
        <v>29</v>
      </c>
      <c r="S97" s="1" t="s">
        <v>29</v>
      </c>
      <c r="T97" s="1" t="s">
        <v>14</v>
      </c>
      <c r="U97" s="1" t="s">
        <v>41</v>
      </c>
      <c r="V97" s="1" t="s">
        <v>19</v>
      </c>
      <c r="W97" s="1" t="s">
        <v>29</v>
      </c>
      <c r="X97" s="1">
        <v>1.57</v>
      </c>
      <c r="Y97" s="1">
        <v>75</v>
      </c>
      <c r="Z97" s="3">
        <f t="shared" si="2"/>
        <v>30.427197857925268</v>
      </c>
      <c r="AA97" s="1">
        <v>118</v>
      </c>
      <c r="AB97" s="1">
        <v>91</v>
      </c>
      <c r="AC97" s="3">
        <f t="shared" si="3"/>
        <v>0.77118644067796616</v>
      </c>
      <c r="AD97" t="s">
        <v>189</v>
      </c>
      <c r="AE97">
        <v>86</v>
      </c>
      <c r="AF97">
        <v>18</v>
      </c>
      <c r="AG97">
        <v>37.200000000000003</v>
      </c>
      <c r="AH97">
        <v>12.9</v>
      </c>
    </row>
    <row r="98" spans="1:34" x14ac:dyDescent="0.25">
      <c r="A98" s="1">
        <v>96</v>
      </c>
      <c r="B98" s="1">
        <v>88</v>
      </c>
      <c r="C98" s="1" t="s">
        <v>11</v>
      </c>
      <c r="D98" s="1" t="s">
        <v>21</v>
      </c>
      <c r="E98" s="1" t="s">
        <v>37</v>
      </c>
      <c r="F98" s="1" t="s">
        <v>43</v>
      </c>
      <c r="G98" s="1">
        <v>1993</v>
      </c>
      <c r="H98" s="1">
        <v>21</v>
      </c>
      <c r="I98" s="1">
        <v>5</v>
      </c>
      <c r="J98" s="1" t="s">
        <v>14</v>
      </c>
      <c r="K98" s="1" t="s">
        <v>15</v>
      </c>
      <c r="L98" s="1" t="s">
        <v>16</v>
      </c>
      <c r="M98" s="1" t="s">
        <v>17</v>
      </c>
      <c r="N98" s="1" t="s">
        <v>25</v>
      </c>
      <c r="O98" s="1" t="s">
        <v>26</v>
      </c>
      <c r="P98" s="1" t="s">
        <v>28</v>
      </c>
      <c r="Q98" s="1" t="s">
        <v>14</v>
      </c>
      <c r="R98" s="1" t="s">
        <v>27</v>
      </c>
      <c r="S98" s="4" t="s">
        <v>61</v>
      </c>
      <c r="T98" s="1" t="s">
        <v>19</v>
      </c>
      <c r="U98" s="1" t="s">
        <v>29</v>
      </c>
      <c r="V98" s="1" t="s">
        <v>19</v>
      </c>
      <c r="W98" s="1" t="s">
        <v>29</v>
      </c>
      <c r="X98" s="1">
        <v>1.72</v>
      </c>
      <c r="Y98" s="1">
        <v>68</v>
      </c>
      <c r="Z98" s="3">
        <f t="shared" si="2"/>
        <v>22.985397512168742</v>
      </c>
      <c r="AA98" s="1">
        <v>100</v>
      </c>
      <c r="AB98" s="1">
        <v>96</v>
      </c>
      <c r="AC98" s="3">
        <f t="shared" si="3"/>
        <v>0.96</v>
      </c>
      <c r="AD98" t="s">
        <v>168</v>
      </c>
      <c r="AE98">
        <v>72</v>
      </c>
      <c r="AF98">
        <v>18</v>
      </c>
      <c r="AG98">
        <v>36.5</v>
      </c>
      <c r="AH98">
        <v>8.9</v>
      </c>
    </row>
    <row r="99" spans="1:34" x14ac:dyDescent="0.25">
      <c r="A99" s="1">
        <v>97</v>
      </c>
      <c r="B99" s="1">
        <v>28</v>
      </c>
      <c r="C99" s="1" t="s">
        <v>11</v>
      </c>
      <c r="D99" s="1" t="s">
        <v>35</v>
      </c>
      <c r="E99" s="1" t="s">
        <v>36</v>
      </c>
      <c r="F99" s="1" t="s">
        <v>80</v>
      </c>
      <c r="G99" s="1">
        <v>2012</v>
      </c>
      <c r="H99" s="1">
        <v>2</v>
      </c>
      <c r="I99" s="1">
        <v>4</v>
      </c>
      <c r="J99" s="1" t="s">
        <v>14</v>
      </c>
      <c r="K99" s="1" t="s">
        <v>81</v>
      </c>
      <c r="L99" s="1" t="s">
        <v>18</v>
      </c>
      <c r="M99" s="1" t="s">
        <v>29</v>
      </c>
      <c r="N99" s="1" t="s">
        <v>25</v>
      </c>
      <c r="O99" s="1" t="s">
        <v>26</v>
      </c>
      <c r="P99" s="1" t="s">
        <v>28</v>
      </c>
      <c r="Q99" s="1" t="s">
        <v>14</v>
      </c>
      <c r="R99" s="4" t="s">
        <v>61</v>
      </c>
      <c r="S99" s="4" t="s">
        <v>61</v>
      </c>
      <c r="T99" s="4" t="s">
        <v>19</v>
      </c>
      <c r="U99" s="1" t="s">
        <v>29</v>
      </c>
      <c r="V99" s="1" t="s">
        <v>19</v>
      </c>
      <c r="W99" s="1" t="s">
        <v>29</v>
      </c>
      <c r="X99" s="1">
        <v>1.85</v>
      </c>
      <c r="Y99" s="1">
        <v>69</v>
      </c>
      <c r="Z99" s="3">
        <f t="shared" si="2"/>
        <v>20.16070124178232</v>
      </c>
      <c r="AA99" s="1">
        <v>89.5</v>
      </c>
      <c r="AB99" s="1">
        <v>125</v>
      </c>
      <c r="AC99" s="3">
        <f t="shared" si="3"/>
        <v>1.3966480446927374</v>
      </c>
      <c r="AD99" t="s">
        <v>171</v>
      </c>
      <c r="AE99">
        <v>80</v>
      </c>
      <c r="AF99">
        <v>20</v>
      </c>
      <c r="AG99">
        <v>36.799999999999997</v>
      </c>
      <c r="AH99">
        <v>4.0999999999999996</v>
      </c>
    </row>
    <row r="100" spans="1:34" x14ac:dyDescent="0.25">
      <c r="A100" s="1">
        <v>98</v>
      </c>
      <c r="B100" s="1">
        <v>50</v>
      </c>
      <c r="C100" s="1" t="s">
        <v>32</v>
      </c>
      <c r="D100" s="1" t="s">
        <v>21</v>
      </c>
      <c r="E100" s="1" t="s">
        <v>22</v>
      </c>
      <c r="F100" s="1" t="s">
        <v>38</v>
      </c>
      <c r="G100" s="1">
        <v>2013</v>
      </c>
      <c r="H100" s="1">
        <v>1</v>
      </c>
      <c r="I100" s="1">
        <v>4</v>
      </c>
      <c r="J100" s="1" t="s">
        <v>19</v>
      </c>
      <c r="K100" s="1" t="s">
        <v>29</v>
      </c>
      <c r="L100" s="1" t="s">
        <v>16</v>
      </c>
      <c r="M100" s="1" t="s">
        <v>29</v>
      </c>
      <c r="N100" s="1" t="s">
        <v>33</v>
      </c>
      <c r="O100" s="1" t="s">
        <v>29</v>
      </c>
      <c r="P100" s="1" t="s">
        <v>29</v>
      </c>
      <c r="Q100" s="1" t="s">
        <v>19</v>
      </c>
      <c r="R100" s="1" t="s">
        <v>29</v>
      </c>
      <c r="S100" s="1" t="s">
        <v>29</v>
      </c>
      <c r="T100" s="1" t="s">
        <v>19</v>
      </c>
      <c r="U100" s="1" t="s">
        <v>29</v>
      </c>
      <c r="V100" s="1" t="s">
        <v>19</v>
      </c>
      <c r="W100" s="1" t="s">
        <v>29</v>
      </c>
      <c r="X100" s="1">
        <v>1.65</v>
      </c>
      <c r="Y100" s="1">
        <v>47</v>
      </c>
      <c r="Z100" s="3">
        <f t="shared" si="2"/>
        <v>17.263544536271812</v>
      </c>
      <c r="AA100" s="1">
        <v>88</v>
      </c>
      <c r="AB100" s="1">
        <v>71</v>
      </c>
      <c r="AC100" s="3">
        <f t="shared" si="3"/>
        <v>0.80681818181818177</v>
      </c>
      <c r="AD100" t="s">
        <v>171</v>
      </c>
      <c r="AE100">
        <v>76</v>
      </c>
      <c r="AF100">
        <v>18</v>
      </c>
      <c r="AG100">
        <v>36.799999999999997</v>
      </c>
      <c r="AH100">
        <v>17.600000000000001</v>
      </c>
    </row>
    <row r="101" spans="1:34" x14ac:dyDescent="0.25">
      <c r="A101" s="1">
        <v>99</v>
      </c>
      <c r="B101" s="1">
        <v>60</v>
      </c>
      <c r="C101" s="1" t="s">
        <v>32</v>
      </c>
      <c r="D101" s="1" t="s">
        <v>42</v>
      </c>
      <c r="E101" s="1" t="s">
        <v>22</v>
      </c>
      <c r="F101" s="1" t="s">
        <v>38</v>
      </c>
      <c r="G101" s="1">
        <v>2013</v>
      </c>
      <c r="H101" s="1">
        <v>1</v>
      </c>
      <c r="I101" s="1">
        <v>5</v>
      </c>
      <c r="J101" s="1" t="s">
        <v>19</v>
      </c>
      <c r="K101" s="1" t="s">
        <v>29</v>
      </c>
      <c r="L101" s="1" t="s">
        <v>18</v>
      </c>
      <c r="M101" s="1" t="s">
        <v>29</v>
      </c>
      <c r="N101" s="1" t="s">
        <v>33</v>
      </c>
      <c r="O101" s="1" t="s">
        <v>29</v>
      </c>
      <c r="P101" s="1" t="s">
        <v>29</v>
      </c>
      <c r="Q101" s="1" t="s">
        <v>19</v>
      </c>
      <c r="R101" s="1" t="s">
        <v>29</v>
      </c>
      <c r="S101" s="1" t="s">
        <v>29</v>
      </c>
      <c r="T101" s="1" t="s">
        <v>19</v>
      </c>
      <c r="U101" s="1" t="s">
        <v>29</v>
      </c>
      <c r="V101" s="1" t="s">
        <v>19</v>
      </c>
      <c r="W101" s="1" t="s">
        <v>29</v>
      </c>
      <c r="X101" s="1">
        <v>1.47</v>
      </c>
      <c r="Y101" s="1">
        <v>52</v>
      </c>
      <c r="Z101" s="3">
        <f t="shared" si="2"/>
        <v>24.064047387662551</v>
      </c>
      <c r="AA101" s="1">
        <v>102</v>
      </c>
      <c r="AB101" s="1">
        <v>84.5</v>
      </c>
      <c r="AC101" s="3">
        <f t="shared" si="3"/>
        <v>0.82843137254901966</v>
      </c>
      <c r="AD101" t="s">
        <v>194</v>
      </c>
      <c r="AE101">
        <v>80</v>
      </c>
      <c r="AF101">
        <v>18</v>
      </c>
      <c r="AG101">
        <v>36.6</v>
      </c>
      <c r="AH101">
        <v>5.2</v>
      </c>
    </row>
    <row r="102" spans="1:34" x14ac:dyDescent="0.25">
      <c r="A102" s="1">
        <v>100</v>
      </c>
      <c r="B102" s="1">
        <v>77</v>
      </c>
      <c r="C102" s="1" t="s">
        <v>11</v>
      </c>
      <c r="D102" s="1" t="s">
        <v>21</v>
      </c>
      <c r="E102" s="1" t="s">
        <v>22</v>
      </c>
      <c r="F102" s="1" t="s">
        <v>23</v>
      </c>
      <c r="G102" s="1">
        <v>1984</v>
      </c>
      <c r="H102" s="1">
        <v>30</v>
      </c>
      <c r="I102" s="1">
        <v>3</v>
      </c>
      <c r="J102" s="1" t="s">
        <v>19</v>
      </c>
      <c r="K102" s="1" t="s">
        <v>29</v>
      </c>
      <c r="L102" s="1" t="s">
        <v>60</v>
      </c>
      <c r="M102" s="1" t="s">
        <v>17</v>
      </c>
      <c r="N102" s="1" t="s">
        <v>25</v>
      </c>
      <c r="O102" s="1" t="s">
        <v>26</v>
      </c>
      <c r="P102" s="1" t="s">
        <v>28</v>
      </c>
      <c r="Q102" s="1" t="s">
        <v>14</v>
      </c>
      <c r="R102" s="5" t="s">
        <v>58</v>
      </c>
      <c r="S102" s="5" t="s">
        <v>58</v>
      </c>
      <c r="T102" s="1" t="s">
        <v>14</v>
      </c>
      <c r="U102" s="1" t="s">
        <v>49</v>
      </c>
      <c r="V102" s="1" t="s">
        <v>19</v>
      </c>
      <c r="W102" s="1" t="s">
        <v>29</v>
      </c>
      <c r="X102" s="1">
        <v>1.67</v>
      </c>
      <c r="Y102" s="1">
        <v>74</v>
      </c>
      <c r="Z102" s="3">
        <f t="shared" si="2"/>
        <v>26.533758829646096</v>
      </c>
      <c r="AA102" s="1">
        <v>106</v>
      </c>
      <c r="AB102" s="1">
        <v>101</v>
      </c>
      <c r="AC102" s="3">
        <f t="shared" si="3"/>
        <v>0.95283018867924529</v>
      </c>
      <c r="AD102" t="s">
        <v>195</v>
      </c>
      <c r="AE102">
        <v>76</v>
      </c>
      <c r="AF102">
        <v>16</v>
      </c>
      <c r="AG102">
        <v>36.6</v>
      </c>
      <c r="AH102">
        <v>14.7</v>
      </c>
    </row>
    <row r="103" spans="1:34" x14ac:dyDescent="0.25">
      <c r="A103" s="1">
        <v>101</v>
      </c>
      <c r="B103" s="1">
        <v>69</v>
      </c>
      <c r="C103" s="1" t="s">
        <v>11</v>
      </c>
      <c r="D103" s="1" t="s">
        <v>21</v>
      </c>
      <c r="E103" s="1" t="s">
        <v>36</v>
      </c>
      <c r="F103" s="1" t="s">
        <v>23</v>
      </c>
      <c r="G103" s="1">
        <v>1997</v>
      </c>
      <c r="H103" s="1">
        <v>17</v>
      </c>
      <c r="I103" s="1">
        <v>4</v>
      </c>
      <c r="J103" s="1" t="s">
        <v>14</v>
      </c>
      <c r="K103" s="1" t="s">
        <v>15</v>
      </c>
      <c r="L103" s="1" t="s">
        <v>16</v>
      </c>
      <c r="M103" s="1" t="s">
        <v>17</v>
      </c>
      <c r="N103" s="1" t="s">
        <v>33</v>
      </c>
      <c r="O103" s="1" t="s">
        <v>29</v>
      </c>
      <c r="P103" s="1" t="s">
        <v>29</v>
      </c>
      <c r="Q103" s="1" t="s">
        <v>19</v>
      </c>
      <c r="R103" s="1" t="s">
        <v>29</v>
      </c>
      <c r="S103" s="1" t="s">
        <v>29</v>
      </c>
      <c r="T103" s="1" t="s">
        <v>19</v>
      </c>
      <c r="U103" s="1" t="s">
        <v>29</v>
      </c>
      <c r="V103" s="1" t="s">
        <v>19</v>
      </c>
      <c r="W103" s="1" t="s">
        <v>29</v>
      </c>
      <c r="X103" s="1">
        <v>1.66</v>
      </c>
      <c r="Y103" s="1">
        <v>85</v>
      </c>
      <c r="Z103" s="3">
        <f t="shared" si="2"/>
        <v>30.84627667295689</v>
      </c>
      <c r="AA103" s="1">
        <v>107</v>
      </c>
      <c r="AB103" s="1">
        <v>120</v>
      </c>
      <c r="AC103" s="3">
        <f t="shared" si="3"/>
        <v>1.1214953271028036</v>
      </c>
      <c r="AD103" t="s">
        <v>193</v>
      </c>
      <c r="AE103">
        <v>72</v>
      </c>
      <c r="AF103">
        <v>18</v>
      </c>
      <c r="AG103">
        <v>36.700000000000003</v>
      </c>
      <c r="AH103">
        <v>7.8</v>
      </c>
    </row>
    <row r="104" spans="1:34" x14ac:dyDescent="0.25">
      <c r="A104" s="1">
        <v>102</v>
      </c>
      <c r="B104" s="1">
        <v>82</v>
      </c>
      <c r="C104" s="1" t="s">
        <v>32</v>
      </c>
      <c r="D104" s="1" t="s">
        <v>21</v>
      </c>
      <c r="E104" s="1" t="s">
        <v>37</v>
      </c>
      <c r="F104" s="1" t="s">
        <v>38</v>
      </c>
      <c r="G104" s="1">
        <v>2003</v>
      </c>
      <c r="H104" s="1">
        <v>11</v>
      </c>
      <c r="I104" s="1">
        <v>5</v>
      </c>
      <c r="J104" s="1" t="s">
        <v>14</v>
      </c>
      <c r="K104" s="1" t="s">
        <v>15</v>
      </c>
      <c r="L104" s="1" t="s">
        <v>18</v>
      </c>
      <c r="M104" s="1" t="s">
        <v>29</v>
      </c>
      <c r="N104" s="1" t="s">
        <v>33</v>
      </c>
      <c r="O104" s="1" t="s">
        <v>29</v>
      </c>
      <c r="P104" s="1" t="s">
        <v>29</v>
      </c>
      <c r="Q104" s="1" t="s">
        <v>19</v>
      </c>
      <c r="R104" s="1" t="s">
        <v>29</v>
      </c>
      <c r="S104" s="1" t="s">
        <v>29</v>
      </c>
      <c r="T104" s="1" t="s">
        <v>14</v>
      </c>
      <c r="U104" s="1" t="s">
        <v>41</v>
      </c>
      <c r="V104" s="1" t="s">
        <v>14</v>
      </c>
      <c r="W104" s="1" t="s">
        <v>53</v>
      </c>
      <c r="X104" s="1">
        <v>1.6</v>
      </c>
      <c r="Y104" s="1">
        <v>55</v>
      </c>
      <c r="Z104" s="3">
        <f t="shared" si="2"/>
        <v>21.484374999999996</v>
      </c>
      <c r="AA104" s="1">
        <v>100</v>
      </c>
      <c r="AB104" s="1">
        <v>87</v>
      </c>
      <c r="AC104" s="3">
        <f t="shared" si="3"/>
        <v>0.87</v>
      </c>
      <c r="AD104" t="s">
        <v>196</v>
      </c>
      <c r="AE104">
        <v>68</v>
      </c>
      <c r="AF104">
        <v>14</v>
      </c>
      <c r="AG104">
        <v>37.200000000000003</v>
      </c>
      <c r="AH104">
        <v>22.2</v>
      </c>
    </row>
    <row r="105" spans="1:34" x14ac:dyDescent="0.25">
      <c r="A105" s="1">
        <v>103</v>
      </c>
      <c r="B105" s="1">
        <v>60</v>
      </c>
      <c r="C105" s="1" t="s">
        <v>11</v>
      </c>
      <c r="D105" s="1" t="s">
        <v>21</v>
      </c>
      <c r="E105" s="1" t="s">
        <v>36</v>
      </c>
      <c r="F105" s="1" t="s">
        <v>38</v>
      </c>
      <c r="G105" s="1">
        <v>2002</v>
      </c>
      <c r="H105" s="1">
        <v>12</v>
      </c>
      <c r="I105" s="1">
        <v>4</v>
      </c>
      <c r="J105" s="1" t="s">
        <v>19</v>
      </c>
      <c r="K105" s="1" t="s">
        <v>29</v>
      </c>
      <c r="L105" s="1" t="s">
        <v>16</v>
      </c>
      <c r="M105" s="1" t="s">
        <v>29</v>
      </c>
      <c r="N105" s="1" t="s">
        <v>33</v>
      </c>
      <c r="O105" s="1" t="s">
        <v>29</v>
      </c>
      <c r="P105" s="1" t="s">
        <v>29</v>
      </c>
      <c r="Q105" s="1" t="s">
        <v>14</v>
      </c>
      <c r="R105" s="1" t="s">
        <v>27</v>
      </c>
      <c r="S105" s="4" t="s">
        <v>61</v>
      </c>
      <c r="T105" s="1" t="s">
        <v>14</v>
      </c>
      <c r="U105" s="1" t="s">
        <v>47</v>
      </c>
      <c r="V105" s="1" t="s">
        <v>19</v>
      </c>
      <c r="W105" s="1" t="s">
        <v>29</v>
      </c>
      <c r="X105" s="1">
        <v>1.75</v>
      </c>
      <c r="Y105" s="1">
        <v>60</v>
      </c>
      <c r="Z105" s="3">
        <f t="shared" si="2"/>
        <v>19.591836734693878</v>
      </c>
      <c r="AA105" s="1">
        <v>87</v>
      </c>
      <c r="AB105" s="1">
        <v>97</v>
      </c>
      <c r="AC105" s="3">
        <f t="shared" si="3"/>
        <v>1.1149425287356323</v>
      </c>
      <c r="AD105" t="s">
        <v>168</v>
      </c>
      <c r="AE105">
        <v>100</v>
      </c>
      <c r="AF105">
        <v>18</v>
      </c>
      <c r="AG105">
        <v>37.1</v>
      </c>
      <c r="AH105">
        <v>21.9</v>
      </c>
    </row>
    <row r="106" spans="1:34" x14ac:dyDescent="0.25">
      <c r="A106" s="1">
        <v>104</v>
      </c>
      <c r="B106" s="1">
        <v>77</v>
      </c>
      <c r="C106" s="1" t="s">
        <v>32</v>
      </c>
      <c r="D106" s="1" t="s">
        <v>42</v>
      </c>
      <c r="E106" s="1" t="s">
        <v>22</v>
      </c>
      <c r="F106" s="1" t="s">
        <v>38</v>
      </c>
      <c r="G106" s="1">
        <v>1994</v>
      </c>
      <c r="H106" s="1">
        <v>20</v>
      </c>
      <c r="I106" s="1">
        <v>4</v>
      </c>
      <c r="J106" s="1" t="s">
        <v>14</v>
      </c>
      <c r="K106" s="13" t="s">
        <v>15</v>
      </c>
      <c r="L106" s="1" t="s">
        <v>16</v>
      </c>
      <c r="M106" s="1" t="s">
        <v>29</v>
      </c>
      <c r="N106" s="1" t="s">
        <v>33</v>
      </c>
      <c r="O106" s="1" t="s">
        <v>29</v>
      </c>
      <c r="P106" s="1" t="s">
        <v>29</v>
      </c>
      <c r="Q106" s="1" t="s">
        <v>19</v>
      </c>
      <c r="R106" s="1" t="s">
        <v>29</v>
      </c>
      <c r="S106" s="1" t="s">
        <v>29</v>
      </c>
      <c r="T106" s="1" t="s">
        <v>14</v>
      </c>
      <c r="U106" s="1" t="s">
        <v>119</v>
      </c>
      <c r="V106" s="1" t="s">
        <v>19</v>
      </c>
      <c r="W106" s="1" t="s">
        <v>29</v>
      </c>
      <c r="X106" s="1">
        <v>1.5</v>
      </c>
      <c r="Y106" s="1">
        <v>44</v>
      </c>
      <c r="Z106" s="3">
        <f t="shared" si="2"/>
        <v>19.555555555555557</v>
      </c>
      <c r="AA106" s="1">
        <v>88</v>
      </c>
      <c r="AB106" s="1">
        <v>86</v>
      </c>
      <c r="AC106" s="3">
        <f t="shared" si="3"/>
        <v>0.97727272727272729</v>
      </c>
      <c r="AD106" t="s">
        <v>197</v>
      </c>
      <c r="AE106">
        <v>70</v>
      </c>
      <c r="AF106">
        <v>18</v>
      </c>
      <c r="AG106">
        <v>37</v>
      </c>
    </row>
    <row r="107" spans="1:34" x14ac:dyDescent="0.25">
      <c r="A107" s="1">
        <v>105</v>
      </c>
      <c r="B107" s="1">
        <v>73</v>
      </c>
      <c r="C107" s="1" t="s">
        <v>11</v>
      </c>
      <c r="D107" s="1" t="s">
        <v>21</v>
      </c>
      <c r="E107" s="1" t="s">
        <v>36</v>
      </c>
      <c r="F107" s="1" t="s">
        <v>23</v>
      </c>
      <c r="G107" s="1">
        <v>2011</v>
      </c>
      <c r="H107" s="1">
        <v>3</v>
      </c>
      <c r="I107" s="1">
        <v>4</v>
      </c>
      <c r="J107" s="1" t="s">
        <v>19</v>
      </c>
      <c r="K107" s="1" t="s">
        <v>29</v>
      </c>
      <c r="L107" s="1" t="s">
        <v>12</v>
      </c>
      <c r="M107" s="1" t="s">
        <v>29</v>
      </c>
      <c r="N107" s="1" t="s">
        <v>33</v>
      </c>
      <c r="O107" s="1" t="s">
        <v>29</v>
      </c>
      <c r="P107" s="1" t="s">
        <v>29</v>
      </c>
      <c r="Q107" s="1" t="s">
        <v>14</v>
      </c>
      <c r="R107" s="4" t="s">
        <v>61</v>
      </c>
      <c r="S107" s="4" t="s">
        <v>58</v>
      </c>
      <c r="T107" s="1" t="s">
        <v>19</v>
      </c>
      <c r="U107" s="1" t="s">
        <v>29</v>
      </c>
      <c r="V107" s="1" t="s">
        <v>19</v>
      </c>
      <c r="W107" s="1" t="s">
        <v>29</v>
      </c>
      <c r="X107" s="1">
        <v>1.71</v>
      </c>
      <c r="Y107" s="1">
        <v>83</v>
      </c>
      <c r="Z107" s="3">
        <f t="shared" si="2"/>
        <v>28.384802161348794</v>
      </c>
      <c r="AA107" s="1">
        <v>105</v>
      </c>
      <c r="AB107" s="1">
        <v>109</v>
      </c>
      <c r="AC107" s="3">
        <f t="shared" si="3"/>
        <v>1.0380952380952382</v>
      </c>
      <c r="AD107" t="s">
        <v>198</v>
      </c>
      <c r="AE107">
        <v>78</v>
      </c>
      <c r="AF107">
        <v>18</v>
      </c>
      <c r="AG107">
        <v>37</v>
      </c>
    </row>
    <row r="108" spans="1:34" x14ac:dyDescent="0.25">
      <c r="A108" s="1">
        <v>106</v>
      </c>
      <c r="B108" s="1">
        <v>61</v>
      </c>
      <c r="C108" s="1" t="s">
        <v>32</v>
      </c>
      <c r="D108" s="1" t="s">
        <v>21</v>
      </c>
      <c r="E108" s="1" t="s">
        <v>22</v>
      </c>
      <c r="F108" s="1" t="s">
        <v>43</v>
      </c>
      <c r="G108" s="1">
        <v>2008</v>
      </c>
      <c r="H108" s="1">
        <v>6</v>
      </c>
      <c r="I108" s="1">
        <v>4</v>
      </c>
      <c r="J108" s="1" t="s">
        <v>19</v>
      </c>
      <c r="K108" s="1" t="s">
        <v>29</v>
      </c>
      <c r="L108" s="1" t="s">
        <v>16</v>
      </c>
      <c r="M108" s="1" t="s">
        <v>29</v>
      </c>
      <c r="N108" s="1" t="s">
        <v>33</v>
      </c>
      <c r="O108" s="1" t="s">
        <v>29</v>
      </c>
      <c r="P108" s="1" t="s">
        <v>29</v>
      </c>
      <c r="Q108" s="1" t="s">
        <v>19</v>
      </c>
      <c r="R108" s="1" t="s">
        <v>29</v>
      </c>
      <c r="S108" s="1" t="s">
        <v>29</v>
      </c>
      <c r="T108" s="1" t="s">
        <v>14</v>
      </c>
      <c r="U108" s="1" t="s">
        <v>53</v>
      </c>
      <c r="V108" s="1" t="s">
        <v>19</v>
      </c>
      <c r="W108" s="1" t="s">
        <v>29</v>
      </c>
      <c r="X108" s="1">
        <v>1.64</v>
      </c>
      <c r="Y108" s="1">
        <v>73</v>
      </c>
      <c r="Z108" s="3">
        <f t="shared" si="2"/>
        <v>27.141582391433676</v>
      </c>
      <c r="AA108" s="1">
        <v>112</v>
      </c>
      <c r="AB108" s="1">
        <v>95</v>
      </c>
      <c r="AC108" s="3">
        <f t="shared" si="3"/>
        <v>0.8482142857142857</v>
      </c>
      <c r="AD108" t="s">
        <v>176</v>
      </c>
      <c r="AE108">
        <v>76</v>
      </c>
      <c r="AF108">
        <v>18</v>
      </c>
      <c r="AG108">
        <v>36.799999999999997</v>
      </c>
    </row>
    <row r="109" spans="1:34" x14ac:dyDescent="0.25">
      <c r="A109" s="1">
        <v>107</v>
      </c>
      <c r="B109" s="1">
        <v>44</v>
      </c>
      <c r="C109" s="1" t="s">
        <v>32</v>
      </c>
      <c r="D109" s="1" t="s">
        <v>21</v>
      </c>
      <c r="E109" s="1" t="s">
        <v>36</v>
      </c>
      <c r="F109" s="1" t="s">
        <v>38</v>
      </c>
      <c r="G109" s="1">
        <v>2012</v>
      </c>
      <c r="H109" s="1">
        <v>2</v>
      </c>
      <c r="I109" s="1">
        <v>4</v>
      </c>
      <c r="J109" s="1" t="s">
        <v>19</v>
      </c>
      <c r="K109" s="1" t="s">
        <v>29</v>
      </c>
      <c r="L109" s="1" t="s">
        <v>16</v>
      </c>
      <c r="M109" s="1" t="s">
        <v>29</v>
      </c>
      <c r="N109" s="1" t="s">
        <v>33</v>
      </c>
      <c r="O109" s="1" t="s">
        <v>29</v>
      </c>
      <c r="P109" s="1" t="s">
        <v>29</v>
      </c>
      <c r="Q109" s="1" t="s">
        <v>19</v>
      </c>
      <c r="R109" s="1" t="s">
        <v>29</v>
      </c>
      <c r="S109" s="1" t="s">
        <v>29</v>
      </c>
      <c r="T109" s="1" t="s">
        <v>14</v>
      </c>
      <c r="U109" s="1" t="s">
        <v>53</v>
      </c>
      <c r="V109" s="1" t="s">
        <v>14</v>
      </c>
      <c r="W109" s="1" t="s">
        <v>53</v>
      </c>
      <c r="X109" s="1">
        <v>1.75</v>
      </c>
      <c r="Y109" s="1">
        <v>73</v>
      </c>
      <c r="Z109" s="3">
        <f t="shared" si="2"/>
        <v>23.836734693877553</v>
      </c>
      <c r="AA109" s="1">
        <v>110</v>
      </c>
      <c r="AB109" s="1">
        <v>101</v>
      </c>
      <c r="AC109" s="3">
        <f t="shared" si="3"/>
        <v>0.91818181818181821</v>
      </c>
      <c r="AD109" t="s">
        <v>199</v>
      </c>
      <c r="AE109">
        <v>80</v>
      </c>
      <c r="AF109">
        <v>16</v>
      </c>
      <c r="AG109">
        <v>36.799999999999997</v>
      </c>
    </row>
    <row r="110" spans="1:34" x14ac:dyDescent="0.25">
      <c r="A110" s="1">
        <v>108</v>
      </c>
      <c r="B110" s="1">
        <v>77</v>
      </c>
      <c r="C110" s="1" t="s">
        <v>32</v>
      </c>
      <c r="D110" s="1" t="s">
        <v>42</v>
      </c>
      <c r="E110" s="1" t="s">
        <v>37</v>
      </c>
      <c r="F110" s="1" t="s">
        <v>43</v>
      </c>
      <c r="G110" s="1">
        <v>2009</v>
      </c>
      <c r="H110" s="1">
        <v>5</v>
      </c>
      <c r="I110" s="1">
        <v>5</v>
      </c>
      <c r="J110" s="1" t="s">
        <v>14</v>
      </c>
      <c r="K110" s="13" t="s">
        <v>15</v>
      </c>
      <c r="L110" s="1" t="s">
        <v>16</v>
      </c>
      <c r="M110" s="1" t="s">
        <v>17</v>
      </c>
      <c r="N110" s="1" t="s">
        <v>33</v>
      </c>
      <c r="O110" s="1" t="s">
        <v>29</v>
      </c>
      <c r="P110" s="1" t="s">
        <v>29</v>
      </c>
      <c r="Q110" s="1" t="s">
        <v>19</v>
      </c>
      <c r="R110" s="1" t="s">
        <v>29</v>
      </c>
      <c r="S110" s="1" t="s">
        <v>29</v>
      </c>
      <c r="T110" s="1" t="s">
        <v>19</v>
      </c>
      <c r="U110" s="1" t="s">
        <v>29</v>
      </c>
      <c r="V110" s="1" t="s">
        <v>19</v>
      </c>
      <c r="W110" s="1" t="s">
        <v>29</v>
      </c>
      <c r="X110" s="1">
        <v>1.6</v>
      </c>
      <c r="Y110" s="1">
        <v>75</v>
      </c>
      <c r="Z110" s="3">
        <f t="shared" si="2"/>
        <v>29.296874999999993</v>
      </c>
      <c r="AA110" s="1">
        <v>130</v>
      </c>
      <c r="AB110" s="1">
        <v>120</v>
      </c>
      <c r="AC110" s="3">
        <f t="shared" si="3"/>
        <v>0.92307692307692313</v>
      </c>
      <c r="AD110" t="s">
        <v>181</v>
      </c>
      <c r="AE110">
        <v>72</v>
      </c>
      <c r="AF110">
        <v>16</v>
      </c>
      <c r="AG110">
        <v>37.299999999999997</v>
      </c>
    </row>
    <row r="111" spans="1:34" x14ac:dyDescent="0.25">
      <c r="A111" s="1">
        <v>109</v>
      </c>
      <c r="B111" s="1">
        <v>21</v>
      </c>
      <c r="C111" s="1" t="s">
        <v>32</v>
      </c>
      <c r="D111" s="1" t="s">
        <v>21</v>
      </c>
      <c r="E111" s="1" t="s">
        <v>22</v>
      </c>
      <c r="F111" s="1" t="s">
        <v>38</v>
      </c>
      <c r="G111" s="1">
        <v>2010</v>
      </c>
      <c r="H111" s="1">
        <v>4</v>
      </c>
      <c r="I111" s="1">
        <v>5</v>
      </c>
      <c r="J111" s="1" t="s">
        <v>19</v>
      </c>
      <c r="K111" s="1" t="s">
        <v>29</v>
      </c>
      <c r="L111" s="1" t="s">
        <v>18</v>
      </c>
      <c r="M111" s="1" t="s">
        <v>29</v>
      </c>
      <c r="N111" s="1" t="s">
        <v>33</v>
      </c>
      <c r="O111" s="1" t="s">
        <v>29</v>
      </c>
      <c r="P111" s="1" t="s">
        <v>29</v>
      </c>
      <c r="Q111" s="1" t="s">
        <v>19</v>
      </c>
      <c r="R111" s="1" t="s">
        <v>29</v>
      </c>
      <c r="S111" s="1" t="s">
        <v>29</v>
      </c>
      <c r="T111" s="1" t="s">
        <v>19</v>
      </c>
      <c r="U111" s="1" t="s">
        <v>29</v>
      </c>
      <c r="V111" s="1" t="s">
        <v>19</v>
      </c>
      <c r="W111" s="1" t="s">
        <v>29</v>
      </c>
      <c r="X111" s="1">
        <v>1.55</v>
      </c>
      <c r="Y111" s="1">
        <v>60</v>
      </c>
      <c r="Z111" s="3">
        <f t="shared" si="2"/>
        <v>24.973985431841829</v>
      </c>
      <c r="AA111" s="1">
        <v>107</v>
      </c>
      <c r="AB111" s="1">
        <v>73</v>
      </c>
      <c r="AC111" s="3">
        <f t="shared" si="3"/>
        <v>0.68224299065420557</v>
      </c>
      <c r="AD111" t="s">
        <v>200</v>
      </c>
      <c r="AE111">
        <v>80</v>
      </c>
      <c r="AF111">
        <v>16</v>
      </c>
      <c r="AG111">
        <v>37</v>
      </c>
    </row>
    <row r="112" spans="1:34" x14ac:dyDescent="0.25">
      <c r="A112" s="1">
        <v>110</v>
      </c>
      <c r="B112" s="1">
        <v>57</v>
      </c>
      <c r="C112" s="1" t="s">
        <v>32</v>
      </c>
      <c r="D112" s="1" t="s">
        <v>21</v>
      </c>
      <c r="E112" s="1" t="s">
        <v>36</v>
      </c>
      <c r="F112" s="1" t="s">
        <v>43</v>
      </c>
      <c r="G112" s="1">
        <v>2007</v>
      </c>
      <c r="H112" s="1">
        <v>7</v>
      </c>
      <c r="I112" s="1">
        <v>4</v>
      </c>
      <c r="J112" s="1" t="s">
        <v>14</v>
      </c>
      <c r="K112" s="1" t="s">
        <v>120</v>
      </c>
      <c r="L112" s="1" t="s">
        <v>16</v>
      </c>
      <c r="M112" s="1" t="s">
        <v>17</v>
      </c>
      <c r="N112" s="1" t="s">
        <v>33</v>
      </c>
      <c r="O112" s="1" t="s">
        <v>29</v>
      </c>
      <c r="P112" s="1" t="s">
        <v>29</v>
      </c>
      <c r="Q112" s="1" t="s">
        <v>19</v>
      </c>
      <c r="R112" s="1" t="s">
        <v>29</v>
      </c>
      <c r="S112" s="1" t="s">
        <v>29</v>
      </c>
      <c r="T112" s="1" t="s">
        <v>19</v>
      </c>
      <c r="U112" s="1" t="s">
        <v>29</v>
      </c>
      <c r="V112" s="1" t="s">
        <v>19</v>
      </c>
      <c r="W112" s="1" t="s">
        <v>29</v>
      </c>
      <c r="X112" s="1">
        <v>1.56</v>
      </c>
      <c r="Y112" s="1">
        <v>64</v>
      </c>
      <c r="Z112" s="3">
        <f t="shared" si="2"/>
        <v>26.298487836949374</v>
      </c>
      <c r="AA112" s="1">
        <v>97</v>
      </c>
      <c r="AB112" s="1">
        <v>83</v>
      </c>
      <c r="AC112" s="3">
        <f t="shared" si="3"/>
        <v>0.85567010309278346</v>
      </c>
      <c r="AD112" t="s">
        <v>201</v>
      </c>
      <c r="AE112">
        <v>129</v>
      </c>
      <c r="AF112">
        <v>20</v>
      </c>
      <c r="AG112">
        <v>37.200000000000003</v>
      </c>
    </row>
    <row r="113" spans="1:34" x14ac:dyDescent="0.25">
      <c r="A113" s="1">
        <v>111</v>
      </c>
      <c r="B113" s="1">
        <v>68</v>
      </c>
      <c r="C113" s="1" t="s">
        <v>11</v>
      </c>
      <c r="D113" s="1" t="s">
        <v>21</v>
      </c>
      <c r="E113" s="1" t="s">
        <v>36</v>
      </c>
      <c r="F113" s="1" t="s">
        <v>23</v>
      </c>
      <c r="G113" s="1">
        <v>2011</v>
      </c>
      <c r="H113" s="1">
        <v>3</v>
      </c>
      <c r="I113" s="1">
        <v>4</v>
      </c>
      <c r="J113" s="1" t="s">
        <v>14</v>
      </c>
      <c r="K113" s="13" t="s">
        <v>15</v>
      </c>
      <c r="L113" s="1" t="s">
        <v>16</v>
      </c>
      <c r="M113" s="1" t="s">
        <v>17</v>
      </c>
      <c r="N113" s="1" t="s">
        <v>25</v>
      </c>
      <c r="O113" s="1" t="s">
        <v>57</v>
      </c>
      <c r="P113" s="63" t="s">
        <v>28</v>
      </c>
      <c r="Q113" s="1" t="s">
        <v>14</v>
      </c>
      <c r="R113" s="1" t="s">
        <v>27</v>
      </c>
      <c r="S113" s="1" t="s">
        <v>27</v>
      </c>
      <c r="T113" s="1" t="s">
        <v>14</v>
      </c>
      <c r="U113" s="1" t="s">
        <v>75</v>
      </c>
      <c r="V113" s="1" t="s">
        <v>14</v>
      </c>
      <c r="W113" s="1" t="s">
        <v>75</v>
      </c>
      <c r="X113" s="1">
        <v>1.72</v>
      </c>
      <c r="Y113" s="1">
        <v>75</v>
      </c>
      <c r="Z113" s="3">
        <f t="shared" si="2"/>
        <v>25.351541373715524</v>
      </c>
      <c r="AA113" s="1">
        <v>101</v>
      </c>
      <c r="AB113" s="1">
        <v>108</v>
      </c>
      <c r="AC113" s="3">
        <f t="shared" si="3"/>
        <v>1.0693069306930694</v>
      </c>
      <c r="AD113" t="s">
        <v>202</v>
      </c>
      <c r="AE113">
        <v>101</v>
      </c>
      <c r="AF113">
        <v>20</v>
      </c>
      <c r="AG113">
        <v>37</v>
      </c>
    </row>
    <row r="114" spans="1:34" x14ac:dyDescent="0.25">
      <c r="A114" s="1">
        <v>112</v>
      </c>
      <c r="B114" s="1">
        <v>72</v>
      </c>
      <c r="C114" s="1" t="s">
        <v>11</v>
      </c>
      <c r="D114" s="1" t="s">
        <v>21</v>
      </c>
      <c r="E114" s="1" t="s">
        <v>36</v>
      </c>
      <c r="F114" s="1" t="s">
        <v>23</v>
      </c>
      <c r="G114" s="1">
        <v>2001</v>
      </c>
      <c r="H114" s="1">
        <v>13</v>
      </c>
      <c r="I114" s="1">
        <v>4</v>
      </c>
      <c r="J114" s="1" t="s">
        <v>14</v>
      </c>
      <c r="K114" s="13" t="s">
        <v>15</v>
      </c>
      <c r="L114" s="1" t="s">
        <v>60</v>
      </c>
      <c r="M114" s="1" t="s">
        <v>29</v>
      </c>
      <c r="N114" s="1" t="s">
        <v>25</v>
      </c>
      <c r="O114" s="1" t="s">
        <v>26</v>
      </c>
      <c r="P114" s="1" t="s">
        <v>28</v>
      </c>
      <c r="Q114" s="1" t="s">
        <v>14</v>
      </c>
      <c r="R114" s="1" t="s">
        <v>27</v>
      </c>
      <c r="S114" s="1" t="s">
        <v>58</v>
      </c>
      <c r="T114" s="1" t="s">
        <v>14</v>
      </c>
      <c r="U114" s="1" t="s">
        <v>121</v>
      </c>
      <c r="V114" s="1" t="s">
        <v>14</v>
      </c>
      <c r="W114" s="1" t="s">
        <v>122</v>
      </c>
      <c r="X114" s="1">
        <v>1.64</v>
      </c>
      <c r="Y114" s="1">
        <v>65</v>
      </c>
      <c r="Z114" s="3">
        <f t="shared" si="2"/>
        <v>24.167162403331353</v>
      </c>
      <c r="AA114" s="1">
        <v>94</v>
      </c>
      <c r="AB114" s="1">
        <v>97</v>
      </c>
      <c r="AC114" s="3">
        <f t="shared" si="3"/>
        <v>1.0319148936170213</v>
      </c>
      <c r="AD114" t="s">
        <v>203</v>
      </c>
      <c r="AE114">
        <v>72</v>
      </c>
      <c r="AF114">
        <v>18</v>
      </c>
      <c r="AG114">
        <v>37.1</v>
      </c>
    </row>
    <row r="115" spans="1:34" x14ac:dyDescent="0.25">
      <c r="A115" s="1">
        <v>113</v>
      </c>
      <c r="B115" s="1">
        <v>66</v>
      </c>
      <c r="C115" s="1" t="s">
        <v>11</v>
      </c>
      <c r="D115" s="1" t="s">
        <v>21</v>
      </c>
      <c r="E115" s="1" t="s">
        <v>36</v>
      </c>
      <c r="F115" s="1" t="s">
        <v>23</v>
      </c>
      <c r="G115" s="1">
        <v>1994</v>
      </c>
      <c r="H115" s="1">
        <v>20</v>
      </c>
      <c r="I115" s="1">
        <v>4</v>
      </c>
      <c r="J115" s="1" t="s">
        <v>14</v>
      </c>
      <c r="K115" s="1" t="s">
        <v>15</v>
      </c>
      <c r="L115" s="1" t="s">
        <v>60</v>
      </c>
      <c r="M115" s="1" t="s">
        <v>29</v>
      </c>
      <c r="N115" s="1" t="s">
        <v>25</v>
      </c>
      <c r="O115" s="1" t="s">
        <v>26</v>
      </c>
      <c r="P115" s="1" t="s">
        <v>40</v>
      </c>
      <c r="Q115" s="1" t="s">
        <v>14</v>
      </c>
      <c r="R115" s="4" t="s">
        <v>61</v>
      </c>
      <c r="S115" s="4" t="s">
        <v>58</v>
      </c>
      <c r="T115" s="1" t="s">
        <v>19</v>
      </c>
      <c r="U115" s="1" t="s">
        <v>29</v>
      </c>
      <c r="V115" s="1" t="s">
        <v>19</v>
      </c>
      <c r="W115" s="1" t="s">
        <v>29</v>
      </c>
      <c r="X115" s="1">
        <v>1.62</v>
      </c>
      <c r="Y115" s="1">
        <v>67</v>
      </c>
      <c r="Z115" s="3">
        <f t="shared" si="2"/>
        <v>25.529644871208653</v>
      </c>
      <c r="AA115" s="1">
        <v>98</v>
      </c>
      <c r="AB115" s="1">
        <v>112</v>
      </c>
      <c r="AC115" s="3">
        <f t="shared" si="3"/>
        <v>1.1428571428571428</v>
      </c>
      <c r="AD115" t="s">
        <v>204</v>
      </c>
      <c r="AE115">
        <v>80</v>
      </c>
      <c r="AF115">
        <v>18</v>
      </c>
      <c r="AG115">
        <v>36.5</v>
      </c>
    </row>
    <row r="116" spans="1:34" x14ac:dyDescent="0.25">
      <c r="A116" s="1">
        <v>114</v>
      </c>
      <c r="B116" s="1">
        <v>38</v>
      </c>
      <c r="C116" s="1" t="s">
        <v>32</v>
      </c>
      <c r="D116" s="1" t="s">
        <v>21</v>
      </c>
      <c r="E116" s="1" t="s">
        <v>36</v>
      </c>
      <c r="F116" s="1" t="s">
        <v>38</v>
      </c>
      <c r="G116" s="1">
        <v>2014</v>
      </c>
      <c r="H116" s="1">
        <v>1</v>
      </c>
      <c r="I116" s="1">
        <v>4</v>
      </c>
      <c r="J116" s="1" t="s">
        <v>19</v>
      </c>
      <c r="K116" s="1" t="s">
        <v>29</v>
      </c>
      <c r="L116" s="1" t="s">
        <v>18</v>
      </c>
      <c r="M116" s="1" t="s">
        <v>29</v>
      </c>
      <c r="N116" s="1" t="s">
        <v>33</v>
      </c>
      <c r="O116" s="1" t="s">
        <v>29</v>
      </c>
      <c r="P116" s="1" t="s">
        <v>29</v>
      </c>
      <c r="Q116" s="1" t="s">
        <v>19</v>
      </c>
      <c r="R116" s="1" t="s">
        <v>29</v>
      </c>
      <c r="S116" s="1" t="s">
        <v>29</v>
      </c>
      <c r="T116" s="1" t="s">
        <v>19</v>
      </c>
      <c r="U116" s="1" t="s">
        <v>29</v>
      </c>
      <c r="V116" s="1" t="s">
        <v>19</v>
      </c>
      <c r="W116" s="1" t="s">
        <v>29</v>
      </c>
      <c r="X116" s="1">
        <v>1.66</v>
      </c>
      <c r="Y116" s="1">
        <v>72</v>
      </c>
      <c r="Z116" s="3">
        <f t="shared" si="2"/>
        <v>26.1286108288576</v>
      </c>
      <c r="AA116" s="1">
        <v>110</v>
      </c>
      <c r="AB116" s="1">
        <v>89</v>
      </c>
      <c r="AC116" s="3">
        <f t="shared" si="3"/>
        <v>0.80909090909090908</v>
      </c>
      <c r="AD116" t="s">
        <v>205</v>
      </c>
      <c r="AE116">
        <v>74</v>
      </c>
      <c r="AF116">
        <v>16</v>
      </c>
      <c r="AG116">
        <v>37.299999999999997</v>
      </c>
      <c r="AH116">
        <v>10</v>
      </c>
    </row>
    <row r="117" spans="1:34" x14ac:dyDescent="0.25">
      <c r="A117" s="1">
        <v>115</v>
      </c>
      <c r="B117" s="1">
        <v>70</v>
      </c>
      <c r="C117" s="1" t="s">
        <v>11</v>
      </c>
      <c r="D117" s="1" t="s">
        <v>21</v>
      </c>
      <c r="E117" s="1" t="s">
        <v>36</v>
      </c>
      <c r="F117" s="1" t="s">
        <v>23</v>
      </c>
      <c r="G117" s="1">
        <v>1976</v>
      </c>
      <c r="H117" s="1">
        <v>38</v>
      </c>
      <c r="I117" s="1">
        <v>6</v>
      </c>
      <c r="J117" s="1" t="s">
        <v>14</v>
      </c>
      <c r="K117" s="1" t="s">
        <v>15</v>
      </c>
      <c r="L117" s="1" t="s">
        <v>18</v>
      </c>
      <c r="M117" s="1" t="s">
        <v>16</v>
      </c>
      <c r="N117" s="1" t="s">
        <v>33</v>
      </c>
      <c r="O117" s="1" t="s">
        <v>29</v>
      </c>
      <c r="P117" s="1" t="s">
        <v>29</v>
      </c>
      <c r="Q117" s="1" t="s">
        <v>19</v>
      </c>
      <c r="R117" s="1" t="s">
        <v>29</v>
      </c>
      <c r="S117" s="1" t="s">
        <v>29</v>
      </c>
      <c r="T117" s="1" t="s">
        <v>14</v>
      </c>
      <c r="U117" s="1" t="s">
        <v>53</v>
      </c>
      <c r="V117" s="1" t="s">
        <v>19</v>
      </c>
      <c r="W117" s="1" t="s">
        <v>29</v>
      </c>
      <c r="X117" s="1">
        <v>1.75</v>
      </c>
      <c r="Y117" s="1">
        <v>77</v>
      </c>
      <c r="Z117" s="3">
        <f t="shared" si="2"/>
        <v>25.142857142857142</v>
      </c>
      <c r="AA117" s="1">
        <v>100</v>
      </c>
      <c r="AB117" s="1">
        <v>111</v>
      </c>
      <c r="AC117" s="3">
        <f t="shared" si="3"/>
        <v>1.1100000000000001</v>
      </c>
      <c r="AD117" s="35" t="s">
        <v>206</v>
      </c>
      <c r="AE117">
        <v>64</v>
      </c>
      <c r="AF117" s="35">
        <v>18</v>
      </c>
      <c r="AG117" s="35">
        <v>37</v>
      </c>
    </row>
    <row r="118" spans="1:34" x14ac:dyDescent="0.25">
      <c r="A118" s="1">
        <v>116</v>
      </c>
      <c r="B118" s="1">
        <v>24</v>
      </c>
      <c r="C118" s="1" t="s">
        <v>32</v>
      </c>
      <c r="D118" s="1" t="s">
        <v>21</v>
      </c>
      <c r="E118" s="1" t="s">
        <v>34</v>
      </c>
      <c r="F118" s="1" t="s">
        <v>38</v>
      </c>
      <c r="G118" s="1">
        <v>2012</v>
      </c>
      <c r="H118" s="1">
        <v>2</v>
      </c>
      <c r="I118" s="1">
        <v>4</v>
      </c>
      <c r="J118" s="1" t="s">
        <v>19</v>
      </c>
      <c r="K118" s="1" t="s">
        <v>29</v>
      </c>
      <c r="L118" s="1" t="s">
        <v>18</v>
      </c>
      <c r="M118" s="1" t="s">
        <v>29</v>
      </c>
      <c r="N118" s="1" t="s">
        <v>33</v>
      </c>
      <c r="O118" s="1" t="s">
        <v>29</v>
      </c>
      <c r="P118" s="1" t="s">
        <v>29</v>
      </c>
      <c r="Q118" s="1" t="s">
        <v>19</v>
      </c>
      <c r="R118" s="1" t="s">
        <v>29</v>
      </c>
      <c r="S118" s="1" t="s">
        <v>29</v>
      </c>
      <c r="T118" s="1" t="s">
        <v>14</v>
      </c>
      <c r="U118" s="1" t="s">
        <v>123</v>
      </c>
      <c r="V118" s="1" t="s">
        <v>19</v>
      </c>
      <c r="W118" s="1" t="s">
        <v>29</v>
      </c>
      <c r="X118" s="1">
        <v>1.65</v>
      </c>
      <c r="Y118" s="1">
        <v>75</v>
      </c>
      <c r="Z118" s="3">
        <f t="shared" si="2"/>
        <v>27.548209366391188</v>
      </c>
      <c r="AA118" s="1">
        <v>115</v>
      </c>
      <c r="AB118" s="1">
        <v>76</v>
      </c>
      <c r="AC118" s="3">
        <f t="shared" si="3"/>
        <v>0.66086956521739126</v>
      </c>
      <c r="AD118" t="s">
        <v>207</v>
      </c>
      <c r="AE118">
        <v>72</v>
      </c>
      <c r="AF118">
        <v>20</v>
      </c>
      <c r="AG118">
        <v>37.1</v>
      </c>
    </row>
    <row r="119" spans="1:34" x14ac:dyDescent="0.25">
      <c r="A119" s="1">
        <v>117</v>
      </c>
      <c r="B119" s="1">
        <v>75</v>
      </c>
      <c r="C119" s="1" t="s">
        <v>32</v>
      </c>
      <c r="D119" s="1" t="s">
        <v>42</v>
      </c>
      <c r="E119" s="1" t="s">
        <v>22</v>
      </c>
      <c r="F119" s="1" t="s">
        <v>43</v>
      </c>
      <c r="G119" s="1">
        <v>2002</v>
      </c>
      <c r="H119" s="1">
        <v>12</v>
      </c>
      <c r="I119" s="1">
        <v>4</v>
      </c>
      <c r="J119" s="1" t="s">
        <v>14</v>
      </c>
      <c r="K119" s="1" t="s">
        <v>15</v>
      </c>
      <c r="L119" s="1" t="s">
        <v>16</v>
      </c>
      <c r="M119" s="1" t="s">
        <v>29</v>
      </c>
      <c r="N119" s="1" t="s">
        <v>33</v>
      </c>
      <c r="O119" s="1" t="s">
        <v>29</v>
      </c>
      <c r="P119" s="1" t="s">
        <v>29</v>
      </c>
      <c r="Q119" s="1" t="s">
        <v>19</v>
      </c>
      <c r="R119" s="1" t="s">
        <v>29</v>
      </c>
      <c r="S119" s="1" t="s">
        <v>29</v>
      </c>
      <c r="T119" s="1" t="s">
        <v>19</v>
      </c>
      <c r="U119" s="1" t="s">
        <v>29</v>
      </c>
      <c r="V119" s="1" t="s">
        <v>19</v>
      </c>
      <c r="W119" s="1" t="s">
        <v>29</v>
      </c>
      <c r="X119" s="1">
        <v>1.56</v>
      </c>
      <c r="Y119" s="1">
        <v>62</v>
      </c>
      <c r="Z119" s="3">
        <f t="shared" si="2"/>
        <v>25.476660092044707</v>
      </c>
      <c r="AA119" s="1">
        <v>117</v>
      </c>
      <c r="AB119" s="1">
        <v>106</v>
      </c>
      <c r="AC119" s="3">
        <f t="shared" si="3"/>
        <v>0.90598290598290598</v>
      </c>
      <c r="AD119" t="s">
        <v>208</v>
      </c>
      <c r="AE119">
        <v>130</v>
      </c>
      <c r="AF119">
        <v>20</v>
      </c>
      <c r="AG119">
        <v>37</v>
      </c>
      <c r="AH119">
        <v>15.8</v>
      </c>
    </row>
    <row r="120" spans="1:34" x14ac:dyDescent="0.25">
      <c r="A120" s="1">
        <v>118</v>
      </c>
      <c r="B120" s="1">
        <v>69</v>
      </c>
      <c r="C120" s="1" t="s">
        <v>11</v>
      </c>
      <c r="D120" s="1" t="s">
        <v>21</v>
      </c>
      <c r="E120" s="1" t="s">
        <v>36</v>
      </c>
      <c r="F120" s="1" t="s">
        <v>23</v>
      </c>
      <c r="G120" s="1">
        <v>2014</v>
      </c>
      <c r="H120" s="1">
        <v>1</v>
      </c>
      <c r="I120" s="63">
        <v>4</v>
      </c>
      <c r="J120" s="1" t="s">
        <v>14</v>
      </c>
      <c r="K120" s="1" t="s">
        <v>15</v>
      </c>
      <c r="L120" s="1" t="s">
        <v>16</v>
      </c>
      <c r="M120" s="1" t="s">
        <v>29</v>
      </c>
      <c r="N120" s="1" t="s">
        <v>25</v>
      </c>
      <c r="O120" s="1" t="s">
        <v>26</v>
      </c>
      <c r="P120" s="1" t="s">
        <v>40</v>
      </c>
      <c r="Q120" s="1" t="s">
        <v>14</v>
      </c>
      <c r="R120" s="1" t="s">
        <v>27</v>
      </c>
      <c r="S120" s="4" t="s">
        <v>61</v>
      </c>
      <c r="T120" s="1" t="s">
        <v>14</v>
      </c>
      <c r="U120" s="13" t="s">
        <v>121</v>
      </c>
      <c r="V120" s="1" t="s">
        <v>14</v>
      </c>
      <c r="W120" s="1" t="s">
        <v>122</v>
      </c>
      <c r="X120" s="1">
        <v>1.71</v>
      </c>
      <c r="Y120" s="1">
        <v>76</v>
      </c>
      <c r="Z120" s="3">
        <f t="shared" si="2"/>
        <v>25.990903183885642</v>
      </c>
      <c r="AA120" s="1">
        <v>100</v>
      </c>
      <c r="AB120" s="1">
        <v>105</v>
      </c>
      <c r="AC120" s="3">
        <f t="shared" si="3"/>
        <v>1.05</v>
      </c>
      <c r="AD120" t="s">
        <v>209</v>
      </c>
      <c r="AE120">
        <v>72</v>
      </c>
      <c r="AF120">
        <v>16</v>
      </c>
      <c r="AG120">
        <v>37</v>
      </c>
      <c r="AH120">
        <v>6.5</v>
      </c>
    </row>
    <row r="121" spans="1:34" x14ac:dyDescent="0.25">
      <c r="A121" s="1">
        <v>119</v>
      </c>
      <c r="B121" s="1">
        <v>64</v>
      </c>
      <c r="C121" s="1" t="s">
        <v>32</v>
      </c>
      <c r="D121" s="1" t="s">
        <v>21</v>
      </c>
      <c r="E121" s="1" t="s">
        <v>22</v>
      </c>
      <c r="F121" s="1" t="s">
        <v>43</v>
      </c>
      <c r="G121" s="1">
        <v>2012</v>
      </c>
      <c r="H121" s="1">
        <v>2</v>
      </c>
      <c r="I121" s="1">
        <v>4</v>
      </c>
      <c r="J121" s="1" t="s">
        <v>14</v>
      </c>
      <c r="K121" s="1" t="s">
        <v>15</v>
      </c>
      <c r="L121" s="1" t="s">
        <v>16</v>
      </c>
      <c r="M121" s="1" t="s">
        <v>16</v>
      </c>
      <c r="N121" s="1" t="s">
        <v>33</v>
      </c>
      <c r="O121" s="1" t="s">
        <v>29</v>
      </c>
      <c r="P121" s="1" t="s">
        <v>29</v>
      </c>
      <c r="Q121" s="1" t="s">
        <v>19</v>
      </c>
      <c r="R121" s="1" t="s">
        <v>29</v>
      </c>
      <c r="S121" s="1" t="s">
        <v>29</v>
      </c>
      <c r="T121" s="1" t="s">
        <v>19</v>
      </c>
      <c r="U121" s="1" t="s">
        <v>29</v>
      </c>
      <c r="V121" s="1" t="s">
        <v>19</v>
      </c>
      <c r="W121" s="1" t="s">
        <v>29</v>
      </c>
      <c r="X121" s="1">
        <v>1.61</v>
      </c>
      <c r="Y121" s="1">
        <v>56</v>
      </c>
      <c r="Z121" s="3">
        <f t="shared" si="2"/>
        <v>21.60410477990818</v>
      </c>
      <c r="AA121" s="1">
        <v>100</v>
      </c>
      <c r="AB121" s="1">
        <v>84</v>
      </c>
      <c r="AC121" s="3">
        <f t="shared" si="3"/>
        <v>0.84</v>
      </c>
      <c r="AD121" t="s">
        <v>210</v>
      </c>
      <c r="AE121">
        <v>77</v>
      </c>
      <c r="AF121">
        <v>16</v>
      </c>
      <c r="AG121">
        <v>36.799999999999997</v>
      </c>
      <c r="AH121">
        <v>6.7</v>
      </c>
    </row>
    <row r="122" spans="1:34" x14ac:dyDescent="0.25">
      <c r="A122" s="1">
        <v>120</v>
      </c>
      <c r="B122" s="1">
        <v>57</v>
      </c>
      <c r="C122" s="1" t="s">
        <v>11</v>
      </c>
      <c r="D122" s="1" t="s">
        <v>21</v>
      </c>
      <c r="E122" s="1" t="s">
        <v>36</v>
      </c>
      <c r="F122" s="1" t="s">
        <v>50</v>
      </c>
      <c r="G122" s="1">
        <v>2011</v>
      </c>
      <c r="H122" s="1">
        <v>3</v>
      </c>
      <c r="I122" s="1">
        <v>6</v>
      </c>
      <c r="J122" s="1" t="s">
        <v>19</v>
      </c>
      <c r="K122" s="1" t="s">
        <v>29</v>
      </c>
      <c r="L122" s="1" t="s">
        <v>16</v>
      </c>
      <c r="M122" s="1" t="s">
        <v>29</v>
      </c>
      <c r="N122" s="1" t="s">
        <v>25</v>
      </c>
      <c r="O122" s="1" t="s">
        <v>26</v>
      </c>
      <c r="P122" s="1" t="s">
        <v>40</v>
      </c>
      <c r="Q122" s="1" t="s">
        <v>19</v>
      </c>
      <c r="R122" s="1" t="s">
        <v>29</v>
      </c>
      <c r="S122" s="1" t="s">
        <v>29</v>
      </c>
      <c r="T122" s="1" t="s">
        <v>14</v>
      </c>
      <c r="U122" s="13" t="s">
        <v>122</v>
      </c>
      <c r="V122" s="1" t="s">
        <v>19</v>
      </c>
      <c r="W122" s="1" t="s">
        <v>29</v>
      </c>
      <c r="X122" s="1">
        <v>1.88</v>
      </c>
      <c r="Y122" s="1">
        <v>83.5</v>
      </c>
      <c r="Z122" s="3">
        <f t="shared" si="2"/>
        <v>23.62494341330919</v>
      </c>
      <c r="AA122" s="1">
        <v>104</v>
      </c>
      <c r="AB122" s="1">
        <v>102</v>
      </c>
      <c r="AC122" s="3">
        <f t="shared" si="3"/>
        <v>0.98076923076923073</v>
      </c>
      <c r="AD122" t="s">
        <v>164</v>
      </c>
      <c r="AE122">
        <v>62</v>
      </c>
      <c r="AF122">
        <v>18</v>
      </c>
      <c r="AG122">
        <v>36.200000000000003</v>
      </c>
      <c r="AH122">
        <v>6.1</v>
      </c>
    </row>
    <row r="123" spans="1:34" x14ac:dyDescent="0.25">
      <c r="A123" s="1">
        <v>121</v>
      </c>
      <c r="B123" s="1">
        <v>44</v>
      </c>
      <c r="C123" s="1" t="s">
        <v>32</v>
      </c>
      <c r="D123" s="1" t="s">
        <v>21</v>
      </c>
      <c r="E123" s="1" t="s">
        <v>22</v>
      </c>
      <c r="F123" s="1" t="s">
        <v>38</v>
      </c>
      <c r="G123" s="1">
        <v>2002</v>
      </c>
      <c r="H123" s="1">
        <v>12</v>
      </c>
      <c r="I123" s="1">
        <v>4</v>
      </c>
      <c r="J123" s="1" t="s">
        <v>19</v>
      </c>
      <c r="K123" s="1" t="s">
        <v>29</v>
      </c>
      <c r="L123" s="1" t="s">
        <v>18</v>
      </c>
      <c r="M123" s="1" t="s">
        <v>29</v>
      </c>
      <c r="N123" s="1" t="s">
        <v>33</v>
      </c>
      <c r="O123" s="1" t="s">
        <v>29</v>
      </c>
      <c r="P123" s="1" t="s">
        <v>29</v>
      </c>
      <c r="Q123" s="1" t="s">
        <v>19</v>
      </c>
      <c r="R123" s="1" t="s">
        <v>29</v>
      </c>
      <c r="S123" s="1" t="s">
        <v>29</v>
      </c>
      <c r="T123" s="1" t="s">
        <v>14</v>
      </c>
      <c r="U123" s="1" t="s">
        <v>124</v>
      </c>
      <c r="V123" s="1" t="s">
        <v>19</v>
      </c>
      <c r="W123" s="1" t="s">
        <v>29</v>
      </c>
      <c r="X123" s="1">
        <v>1.66</v>
      </c>
      <c r="Y123" s="1">
        <v>69</v>
      </c>
      <c r="Z123" s="3">
        <f t="shared" si="2"/>
        <v>25.039918710988534</v>
      </c>
      <c r="AA123" s="1">
        <v>104</v>
      </c>
      <c r="AB123" s="1">
        <v>98</v>
      </c>
      <c r="AC123" s="3">
        <f t="shared" si="3"/>
        <v>0.94230769230769229</v>
      </c>
      <c r="AD123" t="s">
        <v>211</v>
      </c>
      <c r="AE123">
        <v>81</v>
      </c>
      <c r="AF123">
        <v>20</v>
      </c>
      <c r="AG123">
        <v>37</v>
      </c>
      <c r="AH123">
        <v>12.1</v>
      </c>
    </row>
    <row r="124" spans="1:34" x14ac:dyDescent="0.25">
      <c r="A124" s="1">
        <v>122</v>
      </c>
      <c r="B124" s="1">
        <v>62</v>
      </c>
      <c r="C124" s="1" t="s">
        <v>32</v>
      </c>
      <c r="D124" s="1" t="s">
        <v>42</v>
      </c>
      <c r="E124" s="1" t="s">
        <v>36</v>
      </c>
      <c r="F124" s="1" t="s">
        <v>38</v>
      </c>
      <c r="G124" s="1">
        <v>2002</v>
      </c>
      <c r="H124" s="1">
        <v>12</v>
      </c>
      <c r="I124" s="1">
        <v>4</v>
      </c>
      <c r="J124" s="1" t="s">
        <v>19</v>
      </c>
      <c r="K124" s="1" t="s">
        <v>29</v>
      </c>
      <c r="L124" s="1" t="s">
        <v>60</v>
      </c>
      <c r="M124" s="1" t="s">
        <v>12</v>
      </c>
      <c r="N124" s="1" t="s">
        <v>33</v>
      </c>
      <c r="O124" s="1" t="s">
        <v>29</v>
      </c>
      <c r="P124" s="1" t="s">
        <v>29</v>
      </c>
      <c r="Q124" s="1" t="s">
        <v>19</v>
      </c>
      <c r="R124" s="1" t="s">
        <v>29</v>
      </c>
      <c r="S124" s="1" t="s">
        <v>29</v>
      </c>
      <c r="T124" s="1" t="s">
        <v>19</v>
      </c>
      <c r="U124" s="1" t="s">
        <v>29</v>
      </c>
      <c r="V124" s="1" t="s">
        <v>19</v>
      </c>
      <c r="W124" s="1" t="s">
        <v>29</v>
      </c>
      <c r="X124" s="1">
        <v>1.6</v>
      </c>
      <c r="Y124" s="1">
        <v>76</v>
      </c>
      <c r="Z124" s="3">
        <f t="shared" si="2"/>
        <v>29.687499999999993</v>
      </c>
      <c r="AA124" s="1">
        <v>120</v>
      </c>
      <c r="AB124" s="1">
        <v>105</v>
      </c>
      <c r="AC124" s="3">
        <f t="shared" si="3"/>
        <v>0.875</v>
      </c>
      <c r="AD124" t="s">
        <v>212</v>
      </c>
      <c r="AE124">
        <v>87</v>
      </c>
      <c r="AF124">
        <v>18</v>
      </c>
      <c r="AG124">
        <v>36.6</v>
      </c>
      <c r="AH124">
        <v>12.9</v>
      </c>
    </row>
    <row r="125" spans="1:34" x14ac:dyDescent="0.25">
      <c r="A125" s="1">
        <v>123</v>
      </c>
      <c r="B125" s="1">
        <v>69</v>
      </c>
      <c r="C125" s="1" t="s">
        <v>11</v>
      </c>
      <c r="D125" s="1" t="s">
        <v>21</v>
      </c>
      <c r="E125" s="1" t="s">
        <v>22</v>
      </c>
      <c r="F125" s="1" t="s">
        <v>23</v>
      </c>
      <c r="G125" s="1">
        <v>2011</v>
      </c>
      <c r="H125" s="1">
        <v>3</v>
      </c>
      <c r="I125" s="1">
        <v>4</v>
      </c>
      <c r="J125" s="1" t="s">
        <v>19</v>
      </c>
      <c r="K125" s="1" t="s">
        <v>29</v>
      </c>
      <c r="L125" s="1" t="s">
        <v>16</v>
      </c>
      <c r="M125" s="1" t="s">
        <v>29</v>
      </c>
      <c r="N125" s="1" t="s">
        <v>33</v>
      </c>
      <c r="O125" s="1" t="s">
        <v>29</v>
      </c>
      <c r="P125" s="1" t="s">
        <v>29</v>
      </c>
      <c r="Q125" s="1" t="s">
        <v>14</v>
      </c>
      <c r="R125" s="4" t="s">
        <v>61</v>
      </c>
      <c r="S125" s="4" t="s">
        <v>58</v>
      </c>
      <c r="T125" s="1" t="s">
        <v>14</v>
      </c>
      <c r="U125" s="1" t="s">
        <v>59</v>
      </c>
      <c r="V125" s="1" t="s">
        <v>14</v>
      </c>
      <c r="W125" s="1" t="s">
        <v>59</v>
      </c>
      <c r="X125" s="1">
        <v>1.65</v>
      </c>
      <c r="Y125" s="1">
        <v>55</v>
      </c>
      <c r="Z125" s="3">
        <f t="shared" si="2"/>
        <v>20.202020202020204</v>
      </c>
      <c r="AA125" s="1">
        <v>78</v>
      </c>
      <c r="AB125" s="1">
        <v>85</v>
      </c>
      <c r="AC125" s="3">
        <f t="shared" si="3"/>
        <v>1.0897435897435896</v>
      </c>
      <c r="AD125" t="s">
        <v>213</v>
      </c>
      <c r="AE125">
        <v>55</v>
      </c>
      <c r="AF125">
        <v>20</v>
      </c>
      <c r="AG125">
        <v>37.200000000000003</v>
      </c>
      <c r="AH125">
        <v>7.6</v>
      </c>
    </row>
    <row r="126" spans="1:34" x14ac:dyDescent="0.25">
      <c r="A126" s="1">
        <v>124</v>
      </c>
      <c r="B126" s="1">
        <v>52</v>
      </c>
      <c r="C126" s="1" t="s">
        <v>32</v>
      </c>
      <c r="D126" s="1" t="s">
        <v>35</v>
      </c>
      <c r="E126" s="1" t="s">
        <v>22</v>
      </c>
      <c r="F126" s="1" t="s">
        <v>43</v>
      </c>
      <c r="G126" s="1">
        <v>2010</v>
      </c>
      <c r="H126" s="1">
        <v>4</v>
      </c>
      <c r="I126" s="1">
        <v>2</v>
      </c>
      <c r="J126" s="1" t="s">
        <v>19</v>
      </c>
      <c r="K126" s="1" t="s">
        <v>29</v>
      </c>
      <c r="L126" s="63" t="s">
        <v>16</v>
      </c>
      <c r="M126" s="1" t="s">
        <v>29</v>
      </c>
      <c r="N126" s="1" t="s">
        <v>33</v>
      </c>
      <c r="O126" s="1" t="s">
        <v>29</v>
      </c>
      <c r="P126" s="1" t="s">
        <v>29</v>
      </c>
      <c r="Q126" s="1" t="s">
        <v>19</v>
      </c>
      <c r="R126" s="1" t="s">
        <v>29</v>
      </c>
      <c r="S126" s="1" t="s">
        <v>29</v>
      </c>
      <c r="T126" s="1" t="s">
        <v>14</v>
      </c>
      <c r="U126" s="1" t="s">
        <v>75</v>
      </c>
      <c r="V126" s="1" t="s">
        <v>14</v>
      </c>
      <c r="W126" s="1" t="s">
        <v>75</v>
      </c>
      <c r="X126" s="1">
        <v>1.5</v>
      </c>
      <c r="Y126" s="1">
        <v>80</v>
      </c>
      <c r="Z126" s="3">
        <f t="shared" si="2"/>
        <v>35.555555555555557</v>
      </c>
      <c r="AA126" s="1">
        <v>122</v>
      </c>
      <c r="AB126" s="1">
        <v>100</v>
      </c>
      <c r="AC126" s="3">
        <f t="shared" si="3"/>
        <v>0.81967213114754101</v>
      </c>
      <c r="AD126" t="s">
        <v>168</v>
      </c>
      <c r="AE126">
        <v>72</v>
      </c>
      <c r="AF126">
        <v>16</v>
      </c>
      <c r="AG126">
        <v>37.200000000000003</v>
      </c>
      <c r="AH126">
        <v>12.7</v>
      </c>
    </row>
    <row r="127" spans="1:34" x14ac:dyDescent="0.25">
      <c r="A127" s="1">
        <v>125</v>
      </c>
      <c r="B127" s="1">
        <v>66</v>
      </c>
      <c r="C127" s="1" t="s">
        <v>32</v>
      </c>
      <c r="D127" s="1" t="s">
        <v>21</v>
      </c>
      <c r="E127" s="1" t="s">
        <v>37</v>
      </c>
      <c r="F127" s="1" t="s">
        <v>43</v>
      </c>
      <c r="G127" s="1">
        <v>2008</v>
      </c>
      <c r="H127" s="1">
        <v>6</v>
      </c>
      <c r="I127" s="1">
        <v>6</v>
      </c>
      <c r="J127" s="1" t="s">
        <v>14</v>
      </c>
      <c r="K127" s="1" t="s">
        <v>15</v>
      </c>
      <c r="L127" s="1" t="s">
        <v>16</v>
      </c>
      <c r="M127" s="1" t="s">
        <v>29</v>
      </c>
      <c r="N127" s="1" t="s">
        <v>33</v>
      </c>
      <c r="O127" s="1" t="s">
        <v>29</v>
      </c>
      <c r="P127" s="1" t="s">
        <v>29</v>
      </c>
      <c r="Q127" s="1" t="s">
        <v>19</v>
      </c>
      <c r="R127" s="1" t="s">
        <v>29</v>
      </c>
      <c r="S127" s="1" t="s">
        <v>29</v>
      </c>
      <c r="T127" s="1" t="s">
        <v>14</v>
      </c>
      <c r="U127" s="1" t="s">
        <v>53</v>
      </c>
      <c r="V127" s="1" t="s">
        <v>19</v>
      </c>
      <c r="W127" s="1" t="s">
        <v>29</v>
      </c>
      <c r="X127" s="1">
        <v>1.6</v>
      </c>
      <c r="Y127" s="1">
        <v>62</v>
      </c>
      <c r="Z127" s="3">
        <f t="shared" si="2"/>
        <v>24.218749999999996</v>
      </c>
      <c r="AA127" s="1">
        <v>107</v>
      </c>
      <c r="AB127" s="1">
        <v>92</v>
      </c>
      <c r="AC127" s="3">
        <f t="shared" si="3"/>
        <v>0.85981308411214952</v>
      </c>
      <c r="AD127" t="s">
        <v>171</v>
      </c>
      <c r="AE127">
        <v>76</v>
      </c>
      <c r="AF127">
        <v>16</v>
      </c>
      <c r="AG127">
        <v>37</v>
      </c>
      <c r="AH127">
        <v>7.9</v>
      </c>
    </row>
    <row r="128" spans="1:34" x14ac:dyDescent="0.25">
      <c r="A128" s="1">
        <v>126</v>
      </c>
      <c r="B128" s="1">
        <v>67</v>
      </c>
      <c r="C128" s="1" t="s">
        <v>32</v>
      </c>
      <c r="D128" s="1" t="s">
        <v>21</v>
      </c>
      <c r="E128" s="1" t="s">
        <v>22</v>
      </c>
      <c r="F128" s="1" t="s">
        <v>43</v>
      </c>
      <c r="G128" s="1">
        <v>1978</v>
      </c>
      <c r="H128" s="1">
        <v>36</v>
      </c>
      <c r="I128" s="1">
        <v>4</v>
      </c>
      <c r="J128" s="1" t="s">
        <v>14</v>
      </c>
      <c r="K128" s="1" t="s">
        <v>15</v>
      </c>
      <c r="L128" s="1" t="s">
        <v>60</v>
      </c>
      <c r="M128" s="1" t="s">
        <v>12</v>
      </c>
      <c r="N128" s="1" t="s">
        <v>33</v>
      </c>
      <c r="O128" s="1" t="s">
        <v>29</v>
      </c>
      <c r="P128" s="1" t="s">
        <v>29</v>
      </c>
      <c r="Q128" s="1" t="s">
        <v>19</v>
      </c>
      <c r="R128" s="1" t="s">
        <v>29</v>
      </c>
      <c r="S128" s="1" t="s">
        <v>29</v>
      </c>
      <c r="T128" s="1" t="s">
        <v>14</v>
      </c>
      <c r="U128" s="1" t="s">
        <v>122</v>
      </c>
      <c r="V128" s="1" t="s">
        <v>19</v>
      </c>
      <c r="W128" s="1" t="s">
        <v>29</v>
      </c>
      <c r="X128" s="1">
        <v>1.74</v>
      </c>
      <c r="Y128" s="1">
        <v>70</v>
      </c>
      <c r="Z128" s="3">
        <f t="shared" si="2"/>
        <v>23.120623596247853</v>
      </c>
      <c r="AA128" s="1">
        <v>104</v>
      </c>
      <c r="AB128" s="1">
        <v>114</v>
      </c>
      <c r="AC128" s="3">
        <f t="shared" si="3"/>
        <v>1.0961538461538463</v>
      </c>
      <c r="AD128" t="s">
        <v>193</v>
      </c>
      <c r="AE128">
        <v>70</v>
      </c>
      <c r="AF128">
        <v>16</v>
      </c>
      <c r="AG128">
        <v>37.200000000000003</v>
      </c>
      <c r="AH128">
        <v>13</v>
      </c>
    </row>
    <row r="129" spans="1:34" x14ac:dyDescent="0.25">
      <c r="A129" s="1">
        <v>127</v>
      </c>
      <c r="B129" s="1">
        <v>60</v>
      </c>
      <c r="C129" s="1" t="s">
        <v>32</v>
      </c>
      <c r="D129" s="1" t="s">
        <v>21</v>
      </c>
      <c r="E129" s="1" t="s">
        <v>36</v>
      </c>
      <c r="F129" s="1" t="s">
        <v>38</v>
      </c>
      <c r="G129" s="1">
        <v>2013</v>
      </c>
      <c r="H129" s="1">
        <v>1</v>
      </c>
      <c r="I129" s="1">
        <v>4</v>
      </c>
      <c r="J129" s="1" t="s">
        <v>14</v>
      </c>
      <c r="K129" s="1" t="s">
        <v>15</v>
      </c>
      <c r="L129" s="1" t="s">
        <v>16</v>
      </c>
      <c r="M129" s="1" t="s">
        <v>12</v>
      </c>
      <c r="N129" s="1" t="s">
        <v>33</v>
      </c>
      <c r="O129" s="1" t="s">
        <v>29</v>
      </c>
      <c r="P129" s="1" t="s">
        <v>29</v>
      </c>
      <c r="Q129" s="1" t="s">
        <v>19</v>
      </c>
      <c r="R129" s="1" t="s">
        <v>29</v>
      </c>
      <c r="S129" s="1" t="s">
        <v>29</v>
      </c>
      <c r="T129" s="1" t="s">
        <v>19</v>
      </c>
      <c r="U129" s="1" t="s">
        <v>29</v>
      </c>
      <c r="V129" s="1" t="s">
        <v>14</v>
      </c>
      <c r="W129" s="1" t="s">
        <v>41</v>
      </c>
      <c r="X129" s="1">
        <v>1.57</v>
      </c>
      <c r="Y129" s="1">
        <v>72</v>
      </c>
      <c r="Z129" s="3">
        <f t="shared" si="2"/>
        <v>29.210109943608259</v>
      </c>
      <c r="AA129" s="1">
        <v>120</v>
      </c>
      <c r="AB129" s="1">
        <v>105</v>
      </c>
      <c r="AC129" s="3">
        <f t="shared" si="3"/>
        <v>0.875</v>
      </c>
      <c r="AD129" t="s">
        <v>214</v>
      </c>
      <c r="AE129">
        <v>80</v>
      </c>
      <c r="AF129">
        <v>16</v>
      </c>
      <c r="AG129">
        <v>36.799999999999997</v>
      </c>
      <c r="AH129">
        <v>5.8</v>
      </c>
    </row>
    <row r="130" spans="1:34" x14ac:dyDescent="0.25">
      <c r="A130" s="1">
        <v>128</v>
      </c>
      <c r="B130" s="1">
        <v>47</v>
      </c>
      <c r="C130" s="1" t="s">
        <v>32</v>
      </c>
      <c r="D130" s="1" t="s">
        <v>21</v>
      </c>
      <c r="E130" s="1" t="s">
        <v>22</v>
      </c>
      <c r="F130" s="1" t="s">
        <v>38</v>
      </c>
      <c r="G130" s="1">
        <v>2011</v>
      </c>
      <c r="H130" s="1">
        <v>3</v>
      </c>
      <c r="I130" s="1">
        <v>4</v>
      </c>
      <c r="J130" s="1" t="s">
        <v>14</v>
      </c>
      <c r="K130" s="1" t="s">
        <v>15</v>
      </c>
      <c r="L130" s="1" t="s">
        <v>16</v>
      </c>
      <c r="M130" s="1" t="s">
        <v>16</v>
      </c>
      <c r="N130" s="1" t="s">
        <v>33</v>
      </c>
      <c r="O130" s="1" t="s">
        <v>29</v>
      </c>
      <c r="P130" s="1" t="s">
        <v>29</v>
      </c>
      <c r="Q130" s="1" t="s">
        <v>19</v>
      </c>
      <c r="R130" s="1" t="s">
        <v>29</v>
      </c>
      <c r="S130" s="1" t="s">
        <v>29</v>
      </c>
      <c r="T130" s="1" t="s">
        <v>19</v>
      </c>
      <c r="U130" s="1" t="s">
        <v>29</v>
      </c>
      <c r="V130" s="1" t="s">
        <v>14</v>
      </c>
      <c r="W130" s="1" t="s">
        <v>125</v>
      </c>
      <c r="X130" s="1">
        <v>1.56</v>
      </c>
      <c r="Y130" s="1">
        <v>78</v>
      </c>
      <c r="Z130" s="3">
        <f t="shared" si="2"/>
        <v>32.051282051282051</v>
      </c>
      <c r="AA130" s="1">
        <v>117</v>
      </c>
      <c r="AB130" s="1">
        <v>117</v>
      </c>
      <c r="AC130" s="3">
        <f t="shared" si="3"/>
        <v>1</v>
      </c>
      <c r="AD130" t="s">
        <v>215</v>
      </c>
      <c r="AE130">
        <v>88</v>
      </c>
      <c r="AF130">
        <v>16</v>
      </c>
      <c r="AG130">
        <v>37</v>
      </c>
      <c r="AH130">
        <v>19</v>
      </c>
    </row>
    <row r="131" spans="1:34" x14ac:dyDescent="0.25">
      <c r="A131" s="1">
        <v>129</v>
      </c>
      <c r="B131" s="1">
        <v>67</v>
      </c>
      <c r="C131" s="1" t="s">
        <v>32</v>
      </c>
      <c r="D131" s="1" t="s">
        <v>42</v>
      </c>
      <c r="E131" s="1" t="s">
        <v>22</v>
      </c>
      <c r="F131" s="1" t="s">
        <v>43</v>
      </c>
      <c r="G131" s="1">
        <v>2000</v>
      </c>
      <c r="H131" s="1">
        <v>14</v>
      </c>
      <c r="I131" s="1">
        <v>5</v>
      </c>
      <c r="J131" s="1" t="s">
        <v>14</v>
      </c>
      <c r="K131" s="1" t="s">
        <v>15</v>
      </c>
      <c r="L131" s="1" t="s">
        <v>12</v>
      </c>
      <c r="M131" s="1" t="s">
        <v>29</v>
      </c>
      <c r="N131" s="1" t="s">
        <v>33</v>
      </c>
      <c r="O131" s="1" t="s">
        <v>29</v>
      </c>
      <c r="P131" s="1" t="s">
        <v>29</v>
      </c>
      <c r="Q131" s="1" t="s">
        <v>19</v>
      </c>
      <c r="R131" s="1" t="s">
        <v>29</v>
      </c>
      <c r="S131" s="1" t="s">
        <v>29</v>
      </c>
      <c r="T131" s="1" t="s">
        <v>19</v>
      </c>
      <c r="U131" s="1" t="s">
        <v>29</v>
      </c>
      <c r="V131" s="1" t="s">
        <v>19</v>
      </c>
      <c r="W131" s="1" t="s">
        <v>29</v>
      </c>
      <c r="X131" s="1">
        <v>1.63</v>
      </c>
      <c r="Y131" s="1">
        <v>67</v>
      </c>
      <c r="Z131" s="3">
        <f t="shared" si="2"/>
        <v>25.217358575783809</v>
      </c>
      <c r="AA131" s="1">
        <v>112</v>
      </c>
      <c r="AB131" s="1">
        <v>106</v>
      </c>
      <c r="AC131" s="3">
        <f t="shared" si="3"/>
        <v>0.9464285714285714</v>
      </c>
      <c r="AD131" t="s">
        <v>216</v>
      </c>
      <c r="AE131">
        <v>67</v>
      </c>
      <c r="AF131">
        <v>20</v>
      </c>
      <c r="AG131">
        <v>37</v>
      </c>
      <c r="AH131">
        <v>8.6</v>
      </c>
    </row>
    <row r="132" spans="1:34" x14ac:dyDescent="0.25">
      <c r="A132" s="1">
        <v>130</v>
      </c>
      <c r="B132" s="27">
        <v>55</v>
      </c>
      <c r="C132" s="27" t="s">
        <v>11</v>
      </c>
      <c r="D132" s="27" t="s">
        <v>21</v>
      </c>
      <c r="E132" s="27" t="s">
        <v>22</v>
      </c>
      <c r="F132" s="27" t="s">
        <v>23</v>
      </c>
      <c r="G132" s="27">
        <v>1994</v>
      </c>
      <c r="H132" s="27">
        <v>14</v>
      </c>
      <c r="I132" s="27">
        <v>4</v>
      </c>
      <c r="J132" s="27" t="s">
        <v>14</v>
      </c>
      <c r="K132" s="27" t="s">
        <v>15</v>
      </c>
      <c r="L132" s="27" t="s">
        <v>16</v>
      </c>
      <c r="M132" s="27" t="s">
        <v>29</v>
      </c>
      <c r="N132" s="27" t="s">
        <v>33</v>
      </c>
      <c r="O132" s="27" t="s">
        <v>29</v>
      </c>
      <c r="P132" s="27" t="s">
        <v>29</v>
      </c>
      <c r="Q132" s="27" t="s">
        <v>19</v>
      </c>
      <c r="R132" s="27" t="s">
        <v>29</v>
      </c>
      <c r="S132" s="27" t="s">
        <v>29</v>
      </c>
      <c r="T132" s="27" t="s">
        <v>19</v>
      </c>
      <c r="U132" s="27" t="s">
        <v>29</v>
      </c>
      <c r="V132" s="27" t="s">
        <v>19</v>
      </c>
      <c r="W132" s="27" t="s">
        <v>29</v>
      </c>
      <c r="X132" s="27">
        <v>1.5</v>
      </c>
      <c r="Y132" s="27">
        <v>60</v>
      </c>
      <c r="Z132" s="28">
        <f t="shared" ref="Z132:Z195" si="4">(Y132/(X132)^2)</f>
        <v>26.666666666666668</v>
      </c>
      <c r="AA132" s="27">
        <v>98</v>
      </c>
      <c r="AB132" s="27">
        <v>102</v>
      </c>
      <c r="AC132" s="28">
        <f t="shared" si="3"/>
        <v>1.0408163265306123</v>
      </c>
      <c r="AD132" t="s">
        <v>409</v>
      </c>
      <c r="AE132">
        <v>110</v>
      </c>
      <c r="AF132">
        <v>14</v>
      </c>
      <c r="AG132">
        <v>36.9</v>
      </c>
      <c r="AH132">
        <v>10.199999999999999</v>
      </c>
    </row>
    <row r="133" spans="1:34" x14ac:dyDescent="0.25">
      <c r="A133" s="1">
        <v>131</v>
      </c>
      <c r="B133" s="1">
        <v>77</v>
      </c>
      <c r="C133" s="1" t="s">
        <v>32</v>
      </c>
      <c r="D133" s="1" t="s">
        <v>21</v>
      </c>
      <c r="E133" s="1" t="s">
        <v>22</v>
      </c>
      <c r="F133" s="1" t="s">
        <v>43</v>
      </c>
      <c r="G133" s="1">
        <v>2004</v>
      </c>
      <c r="H133" s="1">
        <v>10</v>
      </c>
      <c r="I133" s="1">
        <v>4</v>
      </c>
      <c r="J133" s="1" t="s">
        <v>14</v>
      </c>
      <c r="K133" s="1" t="s">
        <v>15</v>
      </c>
      <c r="L133" s="1" t="s">
        <v>16</v>
      </c>
      <c r="M133" s="1" t="s">
        <v>29</v>
      </c>
      <c r="N133" s="1" t="s">
        <v>33</v>
      </c>
      <c r="O133" s="1" t="s">
        <v>29</v>
      </c>
      <c r="P133" s="1" t="s">
        <v>29</v>
      </c>
      <c r="Q133" s="1" t="s">
        <v>19</v>
      </c>
      <c r="R133" s="1" t="s">
        <v>29</v>
      </c>
      <c r="S133" s="1" t="s">
        <v>29</v>
      </c>
      <c r="T133" s="1" t="s">
        <v>19</v>
      </c>
      <c r="U133" s="1" t="s">
        <v>29</v>
      </c>
      <c r="V133" s="1" t="s">
        <v>19</v>
      </c>
      <c r="W133" s="1" t="s">
        <v>29</v>
      </c>
      <c r="X133" s="1">
        <v>1.6</v>
      </c>
      <c r="Y133" s="1">
        <v>73</v>
      </c>
      <c r="Z133" s="3">
        <f t="shared" si="4"/>
        <v>28.515624999999993</v>
      </c>
      <c r="AA133" s="1">
        <v>114</v>
      </c>
      <c r="AB133" s="1">
        <v>111</v>
      </c>
      <c r="AC133" s="3">
        <f t="shared" ref="AC133:AC196" si="5">AB133/AA133</f>
        <v>0.97368421052631582</v>
      </c>
      <c r="AD133" t="s">
        <v>217</v>
      </c>
      <c r="AE133">
        <v>78</v>
      </c>
      <c r="AF133">
        <v>16</v>
      </c>
      <c r="AG133">
        <v>36.799999999999997</v>
      </c>
      <c r="AH133">
        <v>5</v>
      </c>
    </row>
    <row r="134" spans="1:34" x14ac:dyDescent="0.25">
      <c r="A134" s="1">
        <v>132</v>
      </c>
      <c r="B134" s="1">
        <v>61</v>
      </c>
      <c r="C134" s="1" t="s">
        <v>32</v>
      </c>
      <c r="D134" s="1" t="s">
        <v>21</v>
      </c>
      <c r="E134" s="1" t="s">
        <v>22</v>
      </c>
      <c r="F134" s="1" t="s">
        <v>43</v>
      </c>
      <c r="G134" s="1">
        <v>2011</v>
      </c>
      <c r="H134" s="1">
        <v>3</v>
      </c>
      <c r="I134" s="1">
        <v>4</v>
      </c>
      <c r="J134" s="1" t="s">
        <v>14</v>
      </c>
      <c r="K134" s="1" t="s">
        <v>15</v>
      </c>
      <c r="L134" s="1" t="s">
        <v>16</v>
      </c>
      <c r="M134" s="1" t="s">
        <v>29</v>
      </c>
      <c r="N134" s="1" t="s">
        <v>33</v>
      </c>
      <c r="O134" s="1" t="s">
        <v>29</v>
      </c>
      <c r="P134" s="1" t="s">
        <v>29</v>
      </c>
      <c r="Q134" s="1" t="s">
        <v>19</v>
      </c>
      <c r="R134" s="1" t="s">
        <v>29</v>
      </c>
      <c r="S134" s="1" t="s">
        <v>29</v>
      </c>
      <c r="T134" s="1" t="s">
        <v>14</v>
      </c>
      <c r="U134" s="1" t="s">
        <v>75</v>
      </c>
      <c r="V134" s="1" t="s">
        <v>19</v>
      </c>
      <c r="W134" s="1" t="s">
        <v>29</v>
      </c>
      <c r="X134" s="1">
        <v>1.54</v>
      </c>
      <c r="Y134" s="1">
        <v>50</v>
      </c>
      <c r="Z134" s="3">
        <f t="shared" si="4"/>
        <v>21.0828132906055</v>
      </c>
      <c r="AA134" s="1">
        <v>99</v>
      </c>
      <c r="AB134" s="1">
        <v>78</v>
      </c>
      <c r="AC134" s="3">
        <f t="shared" si="5"/>
        <v>0.78787878787878785</v>
      </c>
      <c r="AD134" t="s">
        <v>218</v>
      </c>
      <c r="AE134">
        <v>80</v>
      </c>
      <c r="AF134">
        <v>20</v>
      </c>
      <c r="AG134">
        <v>18</v>
      </c>
      <c r="AH134">
        <v>3.3</v>
      </c>
    </row>
    <row r="135" spans="1:34" x14ac:dyDescent="0.25">
      <c r="A135" s="1">
        <v>133</v>
      </c>
      <c r="B135" s="1">
        <v>77</v>
      </c>
      <c r="C135" s="1" t="s">
        <v>32</v>
      </c>
      <c r="D135" s="1" t="s">
        <v>42</v>
      </c>
      <c r="E135" s="1" t="s">
        <v>22</v>
      </c>
      <c r="F135" s="1" t="s">
        <v>43</v>
      </c>
      <c r="G135" s="1">
        <v>2000</v>
      </c>
      <c r="H135" s="1">
        <v>14</v>
      </c>
      <c r="I135" s="1">
        <v>4</v>
      </c>
      <c r="J135" s="1" t="s">
        <v>14</v>
      </c>
      <c r="K135" s="1" t="s">
        <v>15</v>
      </c>
      <c r="L135" s="1" t="s">
        <v>16</v>
      </c>
      <c r="M135" s="1" t="s">
        <v>29</v>
      </c>
      <c r="N135" s="1" t="s">
        <v>33</v>
      </c>
      <c r="O135" s="1" t="s">
        <v>29</v>
      </c>
      <c r="P135" s="1" t="s">
        <v>29</v>
      </c>
      <c r="Q135" s="1" t="s">
        <v>19</v>
      </c>
      <c r="R135" s="1" t="s">
        <v>29</v>
      </c>
      <c r="S135" s="1" t="s">
        <v>29</v>
      </c>
      <c r="T135" s="1" t="s">
        <v>19</v>
      </c>
      <c r="U135" s="1" t="s">
        <v>29</v>
      </c>
      <c r="V135" s="1" t="s">
        <v>19</v>
      </c>
      <c r="W135" s="1" t="s">
        <v>29</v>
      </c>
      <c r="X135" s="1">
        <v>1.6</v>
      </c>
      <c r="Y135" s="1">
        <v>80</v>
      </c>
      <c r="Z135" s="3">
        <f t="shared" si="4"/>
        <v>31.249999999999993</v>
      </c>
      <c r="AA135" s="1">
        <v>127</v>
      </c>
      <c r="AB135" s="1">
        <v>114</v>
      </c>
      <c r="AC135" s="3">
        <f t="shared" si="5"/>
        <v>0.89763779527559051</v>
      </c>
      <c r="AD135" t="s">
        <v>219</v>
      </c>
      <c r="AE135">
        <v>111</v>
      </c>
      <c r="AF135">
        <v>18</v>
      </c>
      <c r="AG135">
        <v>36.799999999999997</v>
      </c>
      <c r="AH135">
        <v>13.1</v>
      </c>
    </row>
    <row r="136" spans="1:34" x14ac:dyDescent="0.25">
      <c r="A136" s="1">
        <v>134</v>
      </c>
      <c r="B136" s="1">
        <v>41</v>
      </c>
      <c r="C136" s="1" t="s">
        <v>11</v>
      </c>
      <c r="D136" s="1" t="s">
        <v>21</v>
      </c>
      <c r="E136" s="1" t="s">
        <v>36</v>
      </c>
      <c r="F136" s="1" t="s">
        <v>38</v>
      </c>
      <c r="G136" s="1">
        <v>2010</v>
      </c>
      <c r="H136" s="1">
        <v>4</v>
      </c>
      <c r="I136" s="1">
        <v>3</v>
      </c>
      <c r="J136" s="1" t="s">
        <v>19</v>
      </c>
      <c r="K136" s="1" t="s">
        <v>29</v>
      </c>
      <c r="L136" s="1" t="s">
        <v>16</v>
      </c>
      <c r="M136" s="1" t="s">
        <v>29</v>
      </c>
      <c r="N136" s="1" t="s">
        <v>33</v>
      </c>
      <c r="O136" s="1" t="s">
        <v>29</v>
      </c>
      <c r="P136" s="1" t="s">
        <v>29</v>
      </c>
      <c r="Q136" s="1" t="s">
        <v>19</v>
      </c>
      <c r="R136" s="1" t="s">
        <v>29</v>
      </c>
      <c r="S136" s="1" t="s">
        <v>29</v>
      </c>
      <c r="T136" s="1" t="s">
        <v>14</v>
      </c>
      <c r="U136" s="1" t="s">
        <v>123</v>
      </c>
      <c r="V136" s="1" t="s">
        <v>14</v>
      </c>
      <c r="W136" s="1" t="s">
        <v>59</v>
      </c>
      <c r="X136" s="1">
        <v>1.87</v>
      </c>
      <c r="Y136" s="1">
        <v>92</v>
      </c>
      <c r="Z136" s="3">
        <f t="shared" si="4"/>
        <v>26.309016557522373</v>
      </c>
      <c r="AA136" s="1">
        <v>105</v>
      </c>
      <c r="AB136" s="1">
        <v>106</v>
      </c>
      <c r="AC136" s="3">
        <f t="shared" si="5"/>
        <v>1.0095238095238095</v>
      </c>
      <c r="AD136" t="s">
        <v>184</v>
      </c>
      <c r="AE136">
        <v>76</v>
      </c>
      <c r="AF136">
        <v>18</v>
      </c>
      <c r="AG136">
        <v>36.700000000000003</v>
      </c>
      <c r="AH136">
        <v>2.8</v>
      </c>
    </row>
    <row r="137" spans="1:34" x14ac:dyDescent="0.25">
      <c r="A137" s="1">
        <v>135</v>
      </c>
      <c r="B137" s="1">
        <v>79</v>
      </c>
      <c r="C137" s="1" t="s">
        <v>62</v>
      </c>
      <c r="D137" s="1" t="s">
        <v>42</v>
      </c>
      <c r="E137" s="1" t="s">
        <v>37</v>
      </c>
      <c r="F137" s="1" t="s">
        <v>43</v>
      </c>
      <c r="G137" s="1">
        <v>2014</v>
      </c>
      <c r="H137" s="1">
        <v>1</v>
      </c>
      <c r="I137" s="63">
        <v>4</v>
      </c>
      <c r="J137" s="1" t="s">
        <v>14</v>
      </c>
      <c r="K137" s="1" t="s">
        <v>15</v>
      </c>
      <c r="L137" s="1" t="s">
        <v>16</v>
      </c>
      <c r="M137" s="1" t="s">
        <v>29</v>
      </c>
      <c r="N137" s="1" t="s">
        <v>33</v>
      </c>
      <c r="O137" s="1" t="s">
        <v>29</v>
      </c>
      <c r="P137" s="1" t="s">
        <v>29</v>
      </c>
      <c r="Q137" s="1" t="s">
        <v>19</v>
      </c>
      <c r="R137" s="1" t="s">
        <v>29</v>
      </c>
      <c r="S137" s="1" t="s">
        <v>29</v>
      </c>
      <c r="T137" s="1" t="s">
        <v>19</v>
      </c>
      <c r="U137" s="1" t="s">
        <v>29</v>
      </c>
      <c r="V137" s="1" t="s">
        <v>19</v>
      </c>
      <c r="W137" s="1" t="s">
        <v>29</v>
      </c>
      <c r="X137" s="1">
        <v>1.6</v>
      </c>
      <c r="Y137" s="1">
        <v>68</v>
      </c>
      <c r="Z137" s="3">
        <f t="shared" si="4"/>
        <v>26.562499999999996</v>
      </c>
      <c r="AA137" s="1">
        <v>116</v>
      </c>
      <c r="AB137" s="1">
        <v>113</v>
      </c>
      <c r="AC137" s="3">
        <f t="shared" si="5"/>
        <v>0.97413793103448276</v>
      </c>
      <c r="AD137" t="s">
        <v>220</v>
      </c>
      <c r="AE137">
        <v>70</v>
      </c>
      <c r="AF137">
        <v>16</v>
      </c>
      <c r="AG137">
        <v>36.799999999999997</v>
      </c>
      <c r="AH137">
        <v>7.5</v>
      </c>
    </row>
    <row r="138" spans="1:34" x14ac:dyDescent="0.25">
      <c r="A138" s="1">
        <v>136</v>
      </c>
      <c r="B138" s="1">
        <v>65</v>
      </c>
      <c r="C138" s="1" t="s">
        <v>11</v>
      </c>
      <c r="D138" s="1" t="s">
        <v>21</v>
      </c>
      <c r="E138" s="1" t="s">
        <v>36</v>
      </c>
      <c r="F138" s="1" t="s">
        <v>23</v>
      </c>
      <c r="G138" s="1">
        <v>2005</v>
      </c>
      <c r="H138" s="1">
        <v>9</v>
      </c>
      <c r="I138" s="1">
        <v>6</v>
      </c>
      <c r="J138" s="1" t="s">
        <v>19</v>
      </c>
      <c r="K138" s="1" t="s">
        <v>29</v>
      </c>
      <c r="L138" s="1" t="s">
        <v>60</v>
      </c>
      <c r="M138" s="1" t="s">
        <v>29</v>
      </c>
      <c r="N138" s="1" t="s">
        <v>25</v>
      </c>
      <c r="O138" s="1" t="s">
        <v>26</v>
      </c>
      <c r="P138" s="1" t="s">
        <v>28</v>
      </c>
      <c r="Q138" s="1" t="s">
        <v>14</v>
      </c>
      <c r="R138" s="1" t="s">
        <v>27</v>
      </c>
      <c r="S138" s="4" t="s">
        <v>58</v>
      </c>
      <c r="T138" s="1" t="s">
        <v>14</v>
      </c>
      <c r="U138" s="1" t="s">
        <v>64</v>
      </c>
      <c r="V138" s="1" t="s">
        <v>19</v>
      </c>
      <c r="W138" s="1" t="s">
        <v>29</v>
      </c>
      <c r="X138" s="1">
        <v>1.72</v>
      </c>
      <c r="Y138" s="1">
        <v>82</v>
      </c>
      <c r="Z138" s="3">
        <f t="shared" si="4"/>
        <v>27.717685235262305</v>
      </c>
      <c r="AA138" s="1">
        <v>100</v>
      </c>
      <c r="AB138" s="1">
        <v>109</v>
      </c>
      <c r="AC138" s="3">
        <f t="shared" si="5"/>
        <v>1.0900000000000001</v>
      </c>
      <c r="AD138" t="s">
        <v>221</v>
      </c>
      <c r="AE138">
        <v>100</v>
      </c>
      <c r="AF138">
        <v>20</v>
      </c>
      <c r="AG138">
        <v>37.200000000000003</v>
      </c>
      <c r="AH138">
        <v>7.7</v>
      </c>
    </row>
    <row r="139" spans="1:34" x14ac:dyDescent="0.25">
      <c r="A139" s="1">
        <v>137</v>
      </c>
      <c r="B139" s="1">
        <v>68</v>
      </c>
      <c r="C139" s="1" t="s">
        <v>11</v>
      </c>
      <c r="D139" s="1" t="s">
        <v>21</v>
      </c>
      <c r="E139" s="1" t="s">
        <v>36</v>
      </c>
      <c r="F139" s="1" t="s">
        <v>23</v>
      </c>
      <c r="G139" s="1">
        <v>1996</v>
      </c>
      <c r="H139" s="1">
        <v>18</v>
      </c>
      <c r="I139" s="1">
        <v>4</v>
      </c>
      <c r="J139" s="1" t="s">
        <v>14</v>
      </c>
      <c r="K139" s="1" t="s">
        <v>15</v>
      </c>
      <c r="L139" s="1" t="s">
        <v>18</v>
      </c>
      <c r="M139" s="1" t="s">
        <v>16</v>
      </c>
      <c r="N139" s="1" t="s">
        <v>25</v>
      </c>
      <c r="O139" s="1" t="s">
        <v>26</v>
      </c>
      <c r="P139" s="1" t="s">
        <v>28</v>
      </c>
      <c r="Q139" s="1" t="s">
        <v>14</v>
      </c>
      <c r="R139" s="1" t="s">
        <v>27</v>
      </c>
      <c r="S139" s="1" t="s">
        <v>58</v>
      </c>
      <c r="T139" s="1" t="s">
        <v>19</v>
      </c>
      <c r="U139" s="1" t="s">
        <v>29</v>
      </c>
      <c r="V139" s="1" t="s">
        <v>19</v>
      </c>
      <c r="W139" s="1" t="s">
        <v>29</v>
      </c>
      <c r="X139" s="1">
        <v>1.68</v>
      </c>
      <c r="Y139" s="1">
        <v>68</v>
      </c>
      <c r="Z139" s="3">
        <f t="shared" si="4"/>
        <v>24.092970521541954</v>
      </c>
      <c r="AA139" s="1">
        <v>96</v>
      </c>
      <c r="AB139" s="1">
        <v>101</v>
      </c>
      <c r="AC139" s="3">
        <f t="shared" si="5"/>
        <v>1.0520833333333333</v>
      </c>
      <c r="AD139" t="s">
        <v>222</v>
      </c>
      <c r="AE139">
        <v>80</v>
      </c>
      <c r="AF139">
        <v>20</v>
      </c>
      <c r="AG139">
        <v>36.6</v>
      </c>
      <c r="AH139">
        <v>8.6999999999999993</v>
      </c>
    </row>
    <row r="140" spans="1:34" x14ac:dyDescent="0.25">
      <c r="A140" s="1">
        <v>138</v>
      </c>
      <c r="B140" s="1">
        <v>53</v>
      </c>
      <c r="C140" s="1" t="s">
        <v>11</v>
      </c>
      <c r="D140" s="1" t="s">
        <v>21</v>
      </c>
      <c r="E140" s="1" t="s">
        <v>36</v>
      </c>
      <c r="F140" s="1" t="s">
        <v>50</v>
      </c>
      <c r="G140" s="1">
        <v>1999</v>
      </c>
      <c r="H140" s="1">
        <v>15</v>
      </c>
      <c r="I140" s="1">
        <v>4</v>
      </c>
      <c r="J140" s="1" t="s">
        <v>14</v>
      </c>
      <c r="K140" s="1" t="s">
        <v>15</v>
      </c>
      <c r="L140" s="1" t="s">
        <v>18</v>
      </c>
      <c r="M140" s="1" t="s">
        <v>17</v>
      </c>
      <c r="N140" s="1" t="s">
        <v>33</v>
      </c>
      <c r="O140" s="1" t="s">
        <v>29</v>
      </c>
      <c r="P140" s="1" t="s">
        <v>29</v>
      </c>
      <c r="Q140" s="1" t="s">
        <v>19</v>
      </c>
      <c r="R140" s="1" t="s">
        <v>29</v>
      </c>
      <c r="S140" s="1" t="s">
        <v>29</v>
      </c>
      <c r="T140" s="1" t="s">
        <v>19</v>
      </c>
      <c r="U140" s="1" t="s">
        <v>29</v>
      </c>
      <c r="V140" s="1" t="s">
        <v>14</v>
      </c>
      <c r="W140" s="1" t="s">
        <v>59</v>
      </c>
      <c r="X140" s="1">
        <v>1.64</v>
      </c>
      <c r="Y140" s="1">
        <v>61.5</v>
      </c>
      <c r="Z140" s="3">
        <f t="shared" si="4"/>
        <v>22.86585365853659</v>
      </c>
      <c r="AA140" s="1">
        <v>82</v>
      </c>
      <c r="AB140" s="1">
        <v>93</v>
      </c>
      <c r="AC140" s="3">
        <f t="shared" si="5"/>
        <v>1.1341463414634145</v>
      </c>
      <c r="AD140" t="s">
        <v>223</v>
      </c>
      <c r="AE140">
        <v>90</v>
      </c>
      <c r="AF140">
        <v>20</v>
      </c>
      <c r="AG140">
        <v>37</v>
      </c>
      <c r="AH140">
        <v>13.7</v>
      </c>
    </row>
    <row r="141" spans="1:34" x14ac:dyDescent="0.25">
      <c r="A141" s="1">
        <v>139</v>
      </c>
      <c r="B141" s="1">
        <v>62</v>
      </c>
      <c r="C141" s="1" t="s">
        <v>11</v>
      </c>
      <c r="D141" s="1" t="s">
        <v>21</v>
      </c>
      <c r="E141" s="1" t="s">
        <v>34</v>
      </c>
      <c r="F141" s="1" t="s">
        <v>50</v>
      </c>
      <c r="G141" s="1">
        <v>2009</v>
      </c>
      <c r="H141" s="1">
        <v>5</v>
      </c>
      <c r="I141" s="1">
        <v>4</v>
      </c>
      <c r="J141" s="1" t="s">
        <v>14</v>
      </c>
      <c r="K141" s="1" t="s">
        <v>118</v>
      </c>
      <c r="L141" s="1" t="s">
        <v>16</v>
      </c>
      <c r="M141" s="1" t="s">
        <v>17</v>
      </c>
      <c r="N141" s="1" t="s">
        <v>33</v>
      </c>
      <c r="O141" s="1" t="s">
        <v>29</v>
      </c>
      <c r="P141" s="1" t="s">
        <v>29</v>
      </c>
      <c r="Q141" s="1" t="s">
        <v>14</v>
      </c>
      <c r="R141" s="4" t="s">
        <v>61</v>
      </c>
      <c r="S141" s="4" t="s">
        <v>58</v>
      </c>
      <c r="T141" s="1" t="s">
        <v>14</v>
      </c>
      <c r="U141" s="1" t="s">
        <v>75</v>
      </c>
      <c r="V141" s="1" t="s">
        <v>19</v>
      </c>
      <c r="W141" s="1" t="s">
        <v>29</v>
      </c>
      <c r="X141" s="1">
        <v>1.75</v>
      </c>
      <c r="Y141" s="1">
        <v>85</v>
      </c>
      <c r="Z141" s="3">
        <f t="shared" si="4"/>
        <v>27.755102040816325</v>
      </c>
      <c r="AA141" s="1">
        <v>104</v>
      </c>
      <c r="AB141" s="1">
        <v>105</v>
      </c>
      <c r="AC141" s="3">
        <f t="shared" si="5"/>
        <v>1.0096153846153846</v>
      </c>
      <c r="AD141" t="s">
        <v>173</v>
      </c>
      <c r="AE141">
        <v>108</v>
      </c>
      <c r="AF141">
        <v>16</v>
      </c>
      <c r="AG141">
        <v>37</v>
      </c>
      <c r="AH141">
        <v>6.8</v>
      </c>
    </row>
    <row r="142" spans="1:34" x14ac:dyDescent="0.25">
      <c r="A142" s="1">
        <v>140</v>
      </c>
      <c r="B142" s="1">
        <v>48</v>
      </c>
      <c r="C142" s="1" t="s">
        <v>32</v>
      </c>
      <c r="D142" s="1" t="s">
        <v>21</v>
      </c>
      <c r="E142" s="1" t="s">
        <v>22</v>
      </c>
      <c r="F142" s="1" t="s">
        <v>38</v>
      </c>
      <c r="G142" s="1">
        <v>2014</v>
      </c>
      <c r="H142" s="1">
        <v>1</v>
      </c>
      <c r="I142" s="1">
        <v>4</v>
      </c>
      <c r="J142" s="1" t="s">
        <v>14</v>
      </c>
      <c r="K142" s="1" t="s">
        <v>15</v>
      </c>
      <c r="L142" s="1" t="s">
        <v>16</v>
      </c>
      <c r="M142" s="1" t="s">
        <v>16</v>
      </c>
      <c r="N142" s="1" t="s">
        <v>33</v>
      </c>
      <c r="O142" s="1" t="s">
        <v>29</v>
      </c>
      <c r="P142" s="1" t="s">
        <v>29</v>
      </c>
      <c r="Q142" s="1" t="s">
        <v>19</v>
      </c>
      <c r="R142" s="1" t="s">
        <v>29</v>
      </c>
      <c r="S142" s="1" t="s">
        <v>29</v>
      </c>
      <c r="T142" s="1" t="s">
        <v>19</v>
      </c>
      <c r="U142" s="1" t="s">
        <v>29</v>
      </c>
      <c r="V142" s="1" t="s">
        <v>19</v>
      </c>
      <c r="W142" s="1" t="s">
        <v>29</v>
      </c>
      <c r="X142" s="1">
        <v>1.6</v>
      </c>
      <c r="Y142" s="1">
        <v>75</v>
      </c>
      <c r="Z142" s="3">
        <f t="shared" si="4"/>
        <v>29.296874999999993</v>
      </c>
      <c r="AA142" s="1">
        <v>111</v>
      </c>
      <c r="AB142" s="1">
        <v>103</v>
      </c>
      <c r="AC142" s="3">
        <f t="shared" si="5"/>
        <v>0.92792792792792789</v>
      </c>
      <c r="AD142" t="s">
        <v>224</v>
      </c>
      <c r="AE142">
        <v>111</v>
      </c>
      <c r="AF142">
        <v>18</v>
      </c>
      <c r="AG142">
        <v>37.200000000000003</v>
      </c>
      <c r="AH142">
        <v>4.2</v>
      </c>
    </row>
    <row r="143" spans="1:34" x14ac:dyDescent="0.25">
      <c r="A143" s="1">
        <v>141</v>
      </c>
      <c r="B143" s="1">
        <v>60</v>
      </c>
      <c r="C143" s="1" t="s">
        <v>32</v>
      </c>
      <c r="D143" s="1" t="s">
        <v>21</v>
      </c>
      <c r="E143" s="1" t="s">
        <v>22</v>
      </c>
      <c r="F143" s="1" t="s">
        <v>43</v>
      </c>
      <c r="G143" s="1">
        <v>1998</v>
      </c>
      <c r="H143" s="1">
        <v>16</v>
      </c>
      <c r="I143" s="1">
        <v>4</v>
      </c>
      <c r="J143" s="1" t="s">
        <v>14</v>
      </c>
      <c r="K143" s="1" t="s">
        <v>15</v>
      </c>
      <c r="L143" s="1" t="s">
        <v>16</v>
      </c>
      <c r="M143" s="1" t="s">
        <v>16</v>
      </c>
      <c r="N143" s="1" t="s">
        <v>33</v>
      </c>
      <c r="O143" s="1" t="s">
        <v>29</v>
      </c>
      <c r="P143" s="1" t="s">
        <v>29</v>
      </c>
      <c r="Q143" s="1" t="s">
        <v>19</v>
      </c>
      <c r="R143" s="1" t="s">
        <v>29</v>
      </c>
      <c r="S143" s="1" t="s">
        <v>29</v>
      </c>
      <c r="T143" s="1" t="s">
        <v>14</v>
      </c>
      <c r="U143" s="1" t="s">
        <v>59</v>
      </c>
      <c r="V143" s="1" t="s">
        <v>19</v>
      </c>
      <c r="W143" s="1" t="s">
        <v>29</v>
      </c>
      <c r="X143" s="1">
        <v>1.53</v>
      </c>
      <c r="Y143" s="1">
        <v>52</v>
      </c>
      <c r="Z143" s="3">
        <f t="shared" si="4"/>
        <v>22.213678499722331</v>
      </c>
      <c r="AA143" s="1">
        <v>98</v>
      </c>
      <c r="AB143" s="1">
        <v>81</v>
      </c>
      <c r="AC143" s="3">
        <f t="shared" si="5"/>
        <v>0.82653061224489799</v>
      </c>
      <c r="AD143" t="s">
        <v>225</v>
      </c>
      <c r="AE143">
        <v>82</v>
      </c>
      <c r="AF143">
        <v>16</v>
      </c>
      <c r="AG143">
        <v>36.799999999999997</v>
      </c>
      <c r="AH143">
        <v>13</v>
      </c>
    </row>
    <row r="144" spans="1:34" x14ac:dyDescent="0.25">
      <c r="A144" s="1">
        <v>142</v>
      </c>
      <c r="B144" s="1">
        <v>85</v>
      </c>
      <c r="C144" s="1" t="s">
        <v>32</v>
      </c>
      <c r="D144" s="1" t="s">
        <v>42</v>
      </c>
      <c r="E144" s="1" t="s">
        <v>22</v>
      </c>
      <c r="F144" s="1" t="s">
        <v>43</v>
      </c>
      <c r="G144" s="1">
        <v>2008</v>
      </c>
      <c r="H144" s="1">
        <v>6</v>
      </c>
      <c r="I144" s="1">
        <v>3</v>
      </c>
      <c r="J144" s="1" t="s">
        <v>14</v>
      </c>
      <c r="K144" s="1" t="s">
        <v>15</v>
      </c>
      <c r="L144" s="1" t="s">
        <v>16</v>
      </c>
      <c r="M144" s="1" t="s">
        <v>29</v>
      </c>
      <c r="N144" s="1" t="s">
        <v>33</v>
      </c>
      <c r="O144" s="1" t="s">
        <v>29</v>
      </c>
      <c r="P144" s="1" t="s">
        <v>29</v>
      </c>
      <c r="Q144" s="1" t="s">
        <v>19</v>
      </c>
      <c r="R144" s="1" t="s">
        <v>29</v>
      </c>
      <c r="S144" s="1" t="s">
        <v>29</v>
      </c>
      <c r="T144" s="1" t="s">
        <v>14</v>
      </c>
      <c r="U144" s="1" t="s">
        <v>126</v>
      </c>
      <c r="V144" s="1" t="s">
        <v>14</v>
      </c>
      <c r="W144" s="1" t="s">
        <v>126</v>
      </c>
      <c r="X144" s="1">
        <v>1.58</v>
      </c>
      <c r="Y144" s="1">
        <v>70</v>
      </c>
      <c r="Z144" s="3">
        <f t="shared" si="4"/>
        <v>28.040378144528116</v>
      </c>
      <c r="AA144" s="1">
        <v>106</v>
      </c>
      <c r="AB144" s="1">
        <v>120</v>
      </c>
      <c r="AC144" s="3">
        <f t="shared" si="5"/>
        <v>1.1320754716981132</v>
      </c>
      <c r="AD144" t="s">
        <v>168</v>
      </c>
      <c r="AE144">
        <v>100</v>
      </c>
      <c r="AF144">
        <v>16</v>
      </c>
      <c r="AG144">
        <v>37</v>
      </c>
      <c r="AH144">
        <v>5.8</v>
      </c>
    </row>
    <row r="145" spans="1:34" x14ac:dyDescent="0.25">
      <c r="A145" s="1">
        <v>143</v>
      </c>
      <c r="B145" s="1">
        <v>73</v>
      </c>
      <c r="C145" s="1" t="s">
        <v>11</v>
      </c>
      <c r="D145" s="1" t="s">
        <v>21</v>
      </c>
      <c r="E145" s="1" t="s">
        <v>22</v>
      </c>
      <c r="F145" s="1" t="s">
        <v>23</v>
      </c>
      <c r="G145" s="1">
        <v>1991</v>
      </c>
      <c r="H145" s="1">
        <v>23</v>
      </c>
      <c r="I145" s="1">
        <v>4</v>
      </c>
      <c r="J145" s="1" t="s">
        <v>14</v>
      </c>
      <c r="K145" s="1" t="s">
        <v>15</v>
      </c>
      <c r="L145" s="1" t="s">
        <v>60</v>
      </c>
      <c r="M145" s="1" t="s">
        <v>17</v>
      </c>
      <c r="N145" s="1" t="s">
        <v>25</v>
      </c>
      <c r="O145" s="1" t="s">
        <v>26</v>
      </c>
      <c r="P145" s="1" t="s">
        <v>40</v>
      </c>
      <c r="Q145" s="1" t="s">
        <v>14</v>
      </c>
      <c r="R145" s="1" t="s">
        <v>27</v>
      </c>
      <c r="S145" s="1" t="s">
        <v>27</v>
      </c>
      <c r="T145" s="1" t="s">
        <v>14</v>
      </c>
      <c r="U145" s="1" t="s">
        <v>41</v>
      </c>
      <c r="V145" s="1" t="s">
        <v>14</v>
      </c>
      <c r="W145" s="1" t="s">
        <v>41</v>
      </c>
      <c r="X145" s="1">
        <v>1.71</v>
      </c>
      <c r="Y145" s="1">
        <v>100</v>
      </c>
      <c r="Z145" s="3">
        <f t="shared" si="4"/>
        <v>34.198556820902162</v>
      </c>
      <c r="AA145" s="1">
        <v>104</v>
      </c>
      <c r="AB145" s="1">
        <v>107</v>
      </c>
      <c r="AC145" s="3">
        <f t="shared" si="5"/>
        <v>1.0288461538461537</v>
      </c>
      <c r="AD145" t="s">
        <v>226</v>
      </c>
      <c r="AE145">
        <v>54</v>
      </c>
      <c r="AF145">
        <v>16</v>
      </c>
      <c r="AG145">
        <v>37.200000000000003</v>
      </c>
      <c r="AH145">
        <v>5.0999999999999996</v>
      </c>
    </row>
    <row r="146" spans="1:34" x14ac:dyDescent="0.25">
      <c r="A146" s="1">
        <v>144</v>
      </c>
      <c r="B146" s="1">
        <v>67</v>
      </c>
      <c r="C146" s="1" t="s">
        <v>32</v>
      </c>
      <c r="D146" s="1" t="s">
        <v>42</v>
      </c>
      <c r="E146" s="1" t="s">
        <v>22</v>
      </c>
      <c r="F146" s="1" t="s">
        <v>43</v>
      </c>
      <c r="G146" s="1">
        <v>2002</v>
      </c>
      <c r="H146" s="1">
        <v>12</v>
      </c>
      <c r="I146" s="1">
        <v>4</v>
      </c>
      <c r="J146" s="1" t="s">
        <v>14</v>
      </c>
      <c r="K146" s="1" t="s">
        <v>15</v>
      </c>
      <c r="L146" s="1" t="s">
        <v>16</v>
      </c>
      <c r="M146" s="1" t="s">
        <v>29</v>
      </c>
      <c r="N146" s="1" t="s">
        <v>33</v>
      </c>
      <c r="O146" s="1" t="s">
        <v>29</v>
      </c>
      <c r="P146" s="1" t="s">
        <v>29</v>
      </c>
      <c r="Q146" s="1" t="s">
        <v>19</v>
      </c>
      <c r="R146" s="1" t="s">
        <v>29</v>
      </c>
      <c r="S146" s="1" t="s">
        <v>29</v>
      </c>
      <c r="T146" s="1" t="s">
        <v>14</v>
      </c>
      <c r="U146" s="1" t="s">
        <v>75</v>
      </c>
      <c r="V146" s="1" t="s">
        <v>19</v>
      </c>
      <c r="W146" s="1" t="s">
        <v>29</v>
      </c>
      <c r="X146" s="1">
        <v>1.5</v>
      </c>
      <c r="Y146" s="1">
        <v>46</v>
      </c>
      <c r="Z146" s="3">
        <f t="shared" si="4"/>
        <v>20.444444444444443</v>
      </c>
      <c r="AA146" s="1">
        <v>100</v>
      </c>
      <c r="AB146" s="1">
        <v>92</v>
      </c>
      <c r="AC146" s="3">
        <f t="shared" si="5"/>
        <v>0.92</v>
      </c>
      <c r="AD146" t="s">
        <v>182</v>
      </c>
      <c r="AE146">
        <v>82</v>
      </c>
      <c r="AF146">
        <v>18</v>
      </c>
      <c r="AG146">
        <v>36.299999999999997</v>
      </c>
      <c r="AH146">
        <v>7</v>
      </c>
    </row>
    <row r="147" spans="1:34" x14ac:dyDescent="0.25">
      <c r="A147" s="1">
        <v>145</v>
      </c>
      <c r="B147" s="1">
        <v>67</v>
      </c>
      <c r="C147" s="1" t="s">
        <v>11</v>
      </c>
      <c r="D147" s="1" t="s">
        <v>21</v>
      </c>
      <c r="E147" s="1" t="s">
        <v>36</v>
      </c>
      <c r="F147" s="1" t="s">
        <v>23</v>
      </c>
      <c r="G147" s="1">
        <v>2008</v>
      </c>
      <c r="H147" s="1">
        <v>6</v>
      </c>
      <c r="I147" s="1">
        <v>6</v>
      </c>
      <c r="J147" s="1" t="s">
        <v>14</v>
      </c>
      <c r="K147" s="1" t="s">
        <v>15</v>
      </c>
      <c r="L147" s="1" t="s">
        <v>18</v>
      </c>
      <c r="M147" s="1" t="s">
        <v>29</v>
      </c>
      <c r="N147" s="1" t="s">
        <v>33</v>
      </c>
      <c r="O147" s="1" t="s">
        <v>29</v>
      </c>
      <c r="P147" s="1" t="s">
        <v>29</v>
      </c>
      <c r="Q147" s="1" t="s">
        <v>19</v>
      </c>
      <c r="R147" s="1" t="s">
        <v>29</v>
      </c>
      <c r="S147" s="1" t="s">
        <v>29</v>
      </c>
      <c r="T147" s="1" t="s">
        <v>19</v>
      </c>
      <c r="U147" s="1" t="s">
        <v>29</v>
      </c>
      <c r="V147" s="1" t="s">
        <v>19</v>
      </c>
      <c r="W147" s="1" t="s">
        <v>29</v>
      </c>
      <c r="X147" s="1">
        <v>1.57</v>
      </c>
      <c r="Y147" s="1">
        <v>61</v>
      </c>
      <c r="Z147" s="3">
        <f t="shared" si="4"/>
        <v>24.747454257779218</v>
      </c>
      <c r="AA147" s="1">
        <v>86</v>
      </c>
      <c r="AB147" s="1">
        <v>94</v>
      </c>
      <c r="AC147" s="3">
        <f t="shared" si="5"/>
        <v>1.0930232558139534</v>
      </c>
      <c r="AD147" t="s">
        <v>227</v>
      </c>
      <c r="AE147">
        <v>90</v>
      </c>
      <c r="AF147">
        <v>16</v>
      </c>
      <c r="AG147">
        <v>36.4</v>
      </c>
      <c r="AH147">
        <v>8.6999999999999993</v>
      </c>
    </row>
    <row r="148" spans="1:34" x14ac:dyDescent="0.25">
      <c r="A148" s="1">
        <v>146</v>
      </c>
      <c r="B148" s="1">
        <v>65</v>
      </c>
      <c r="C148" s="1" t="s">
        <v>32</v>
      </c>
      <c r="D148" s="1" t="s">
        <v>21</v>
      </c>
      <c r="E148" s="1" t="s">
        <v>22</v>
      </c>
      <c r="F148" s="1" t="s">
        <v>43</v>
      </c>
      <c r="G148" s="1">
        <v>2012</v>
      </c>
      <c r="H148" s="1">
        <v>2</v>
      </c>
      <c r="I148" s="1">
        <v>4</v>
      </c>
      <c r="J148" s="1" t="s">
        <v>14</v>
      </c>
      <c r="K148" s="1" t="s">
        <v>15</v>
      </c>
      <c r="L148" s="1" t="s">
        <v>60</v>
      </c>
      <c r="M148" s="1" t="s">
        <v>12</v>
      </c>
      <c r="N148" s="1" t="s">
        <v>33</v>
      </c>
      <c r="O148" s="1" t="s">
        <v>29</v>
      </c>
      <c r="P148" s="1" t="s">
        <v>29</v>
      </c>
      <c r="Q148" s="1" t="s">
        <v>19</v>
      </c>
      <c r="R148" s="1" t="s">
        <v>29</v>
      </c>
      <c r="S148" s="1" t="s">
        <v>29</v>
      </c>
      <c r="T148" s="1" t="s">
        <v>19</v>
      </c>
      <c r="U148" s="1" t="s">
        <v>29</v>
      </c>
      <c r="V148" s="1" t="s">
        <v>19</v>
      </c>
      <c r="W148" s="1" t="s">
        <v>29</v>
      </c>
      <c r="X148" s="1">
        <v>1.53</v>
      </c>
      <c r="Y148" s="1">
        <v>68</v>
      </c>
      <c r="Z148" s="3">
        <f t="shared" si="4"/>
        <v>29.048656499636891</v>
      </c>
      <c r="AA148" s="1">
        <v>116</v>
      </c>
      <c r="AB148" s="1">
        <v>91</v>
      </c>
      <c r="AC148" s="3">
        <f t="shared" si="5"/>
        <v>0.78448275862068961</v>
      </c>
      <c r="AD148" t="s">
        <v>228</v>
      </c>
      <c r="AE148">
        <v>92</v>
      </c>
      <c r="AF148">
        <v>16</v>
      </c>
      <c r="AG148">
        <v>36.700000000000003</v>
      </c>
      <c r="AH148">
        <v>3.9</v>
      </c>
    </row>
    <row r="149" spans="1:34" x14ac:dyDescent="0.25">
      <c r="A149" s="1">
        <v>147</v>
      </c>
      <c r="B149" s="1">
        <v>64</v>
      </c>
      <c r="C149" s="1" t="s">
        <v>11</v>
      </c>
      <c r="D149" s="1" t="s">
        <v>21</v>
      </c>
      <c r="E149" s="1" t="s">
        <v>36</v>
      </c>
      <c r="F149" s="1" t="s">
        <v>43</v>
      </c>
      <c r="G149" s="1">
        <v>1994</v>
      </c>
      <c r="H149" s="1">
        <v>20</v>
      </c>
      <c r="I149" s="1">
        <v>4</v>
      </c>
      <c r="J149" s="1" t="s">
        <v>14</v>
      </c>
      <c r="K149" s="1" t="s">
        <v>15</v>
      </c>
      <c r="L149" s="1" t="s">
        <v>60</v>
      </c>
      <c r="M149" s="1" t="s">
        <v>12</v>
      </c>
      <c r="N149" s="1" t="s">
        <v>78</v>
      </c>
      <c r="O149" s="1" t="s">
        <v>26</v>
      </c>
      <c r="P149" s="1" t="s">
        <v>40</v>
      </c>
      <c r="Q149" s="1" t="s">
        <v>14</v>
      </c>
      <c r="R149" s="1" t="s">
        <v>27</v>
      </c>
      <c r="S149" s="1" t="s">
        <v>127</v>
      </c>
      <c r="T149" s="1" t="s">
        <v>14</v>
      </c>
      <c r="U149" s="1" t="s">
        <v>128</v>
      </c>
      <c r="V149" s="1" t="s">
        <v>19</v>
      </c>
      <c r="W149" s="1" t="s">
        <v>29</v>
      </c>
      <c r="X149" s="1">
        <v>1.73</v>
      </c>
      <c r="Y149" s="1">
        <v>76</v>
      </c>
      <c r="Z149" s="3">
        <f t="shared" si="4"/>
        <v>25.393431120318084</v>
      </c>
      <c r="AA149" s="1">
        <v>92</v>
      </c>
      <c r="AB149" s="1">
        <v>94</v>
      </c>
      <c r="AC149" s="3">
        <f t="shared" si="5"/>
        <v>1.0217391304347827</v>
      </c>
      <c r="AD149" t="s">
        <v>229</v>
      </c>
      <c r="AE149">
        <v>102</v>
      </c>
      <c r="AF149">
        <v>16</v>
      </c>
      <c r="AG149">
        <v>37.200000000000003</v>
      </c>
      <c r="AH149">
        <v>4.5</v>
      </c>
    </row>
    <row r="150" spans="1:34" x14ac:dyDescent="0.25">
      <c r="A150" s="1">
        <v>148</v>
      </c>
      <c r="B150" s="1">
        <v>64</v>
      </c>
      <c r="C150" s="1" t="s">
        <v>11</v>
      </c>
      <c r="D150" s="1" t="s">
        <v>21</v>
      </c>
      <c r="E150" s="1" t="s">
        <v>36</v>
      </c>
      <c r="F150" s="1" t="s">
        <v>38</v>
      </c>
      <c r="G150" s="1">
        <v>1977</v>
      </c>
      <c r="H150" s="1">
        <v>37</v>
      </c>
      <c r="I150" s="1">
        <v>4</v>
      </c>
      <c r="J150" s="1" t="s">
        <v>14</v>
      </c>
      <c r="K150" s="1" t="s">
        <v>15</v>
      </c>
      <c r="L150" s="1" t="s">
        <v>12</v>
      </c>
      <c r="M150" s="1" t="s">
        <v>16</v>
      </c>
      <c r="N150" s="1" t="s">
        <v>25</v>
      </c>
      <c r="O150" s="1" t="s">
        <v>26</v>
      </c>
      <c r="P150" s="1" t="s">
        <v>40</v>
      </c>
      <c r="Q150" s="1" t="s">
        <v>19</v>
      </c>
      <c r="R150" s="1" t="s">
        <v>29</v>
      </c>
      <c r="S150" s="1" t="s">
        <v>29</v>
      </c>
      <c r="T150" s="1" t="s">
        <v>14</v>
      </c>
      <c r="U150" s="1" t="s">
        <v>128</v>
      </c>
      <c r="V150" s="1" t="s">
        <v>19</v>
      </c>
      <c r="W150" s="1" t="s">
        <v>29</v>
      </c>
      <c r="X150" s="1">
        <v>1.62</v>
      </c>
      <c r="Y150" s="1">
        <v>56</v>
      </c>
      <c r="Z150" s="3">
        <f t="shared" si="4"/>
        <v>21.338210638622158</v>
      </c>
      <c r="AA150" s="1">
        <v>84</v>
      </c>
      <c r="AB150" s="1">
        <v>95</v>
      </c>
      <c r="AC150" s="3">
        <f t="shared" si="5"/>
        <v>1.1309523809523809</v>
      </c>
      <c r="AD150" t="s">
        <v>172</v>
      </c>
      <c r="AE150">
        <v>106</v>
      </c>
      <c r="AF150">
        <v>20</v>
      </c>
      <c r="AG150">
        <v>36.299999999999997</v>
      </c>
      <c r="AH150">
        <v>17.5</v>
      </c>
    </row>
    <row r="151" spans="1:34" x14ac:dyDescent="0.25">
      <c r="A151" s="1">
        <v>149</v>
      </c>
      <c r="B151" s="1">
        <v>23</v>
      </c>
      <c r="C151" s="1" t="s">
        <v>32</v>
      </c>
      <c r="D151" s="1" t="s">
        <v>35</v>
      </c>
      <c r="E151" s="1" t="s">
        <v>34</v>
      </c>
      <c r="F151" s="1" t="s">
        <v>43</v>
      </c>
      <c r="G151" s="1">
        <v>2011</v>
      </c>
      <c r="H151" s="1">
        <v>3</v>
      </c>
      <c r="I151" s="1">
        <v>3</v>
      </c>
      <c r="J151" s="1" t="s">
        <v>19</v>
      </c>
      <c r="K151" s="1" t="s">
        <v>29</v>
      </c>
      <c r="L151" s="1" t="s">
        <v>18</v>
      </c>
      <c r="M151" s="1" t="s">
        <v>29</v>
      </c>
      <c r="N151" s="1" t="s">
        <v>33</v>
      </c>
      <c r="O151" s="1" t="s">
        <v>29</v>
      </c>
      <c r="P151" s="1" t="s">
        <v>29</v>
      </c>
      <c r="Q151" s="1" t="s">
        <v>19</v>
      </c>
      <c r="R151" s="1" t="s">
        <v>29</v>
      </c>
      <c r="S151" s="1" t="s">
        <v>29</v>
      </c>
      <c r="T151" s="1" t="s">
        <v>19</v>
      </c>
      <c r="U151" s="1" t="s">
        <v>29</v>
      </c>
      <c r="V151" s="1" t="s">
        <v>19</v>
      </c>
      <c r="W151" s="1" t="s">
        <v>29</v>
      </c>
      <c r="X151" s="1">
        <v>1.66</v>
      </c>
      <c r="Y151" s="1">
        <v>43</v>
      </c>
      <c r="Z151" s="3">
        <f t="shared" si="4"/>
        <v>15.604587022789955</v>
      </c>
      <c r="AA151" s="1">
        <v>74</v>
      </c>
      <c r="AB151" s="1">
        <v>63</v>
      </c>
      <c r="AC151" s="3">
        <f t="shared" si="5"/>
        <v>0.85135135135135132</v>
      </c>
      <c r="AD151" t="s">
        <v>169</v>
      </c>
      <c r="AE151">
        <v>102</v>
      </c>
      <c r="AF151">
        <v>18</v>
      </c>
      <c r="AG151">
        <v>36.4</v>
      </c>
      <c r="AH151">
        <v>14.5</v>
      </c>
    </row>
    <row r="152" spans="1:34" x14ac:dyDescent="0.25">
      <c r="A152" s="1">
        <v>150</v>
      </c>
      <c r="B152" s="1">
        <v>23</v>
      </c>
      <c r="C152" s="1" t="s">
        <v>32</v>
      </c>
      <c r="D152" s="1" t="s">
        <v>35</v>
      </c>
      <c r="E152" s="1" t="s">
        <v>22</v>
      </c>
      <c r="F152" s="1" t="s">
        <v>50</v>
      </c>
      <c r="G152" s="1">
        <v>2011</v>
      </c>
      <c r="H152" s="1">
        <v>3</v>
      </c>
      <c r="I152" s="1">
        <v>3</v>
      </c>
      <c r="J152" s="1" t="s">
        <v>19</v>
      </c>
      <c r="K152" s="1" t="s">
        <v>29</v>
      </c>
      <c r="L152" s="1" t="s">
        <v>18</v>
      </c>
      <c r="M152" s="1" t="s">
        <v>29</v>
      </c>
      <c r="N152" s="1" t="s">
        <v>33</v>
      </c>
      <c r="O152" s="1" t="s">
        <v>29</v>
      </c>
      <c r="P152" s="1" t="s">
        <v>29</v>
      </c>
      <c r="Q152" s="1" t="s">
        <v>19</v>
      </c>
      <c r="R152" s="1" t="s">
        <v>29</v>
      </c>
      <c r="S152" s="1" t="s">
        <v>29</v>
      </c>
      <c r="T152" s="1" t="s">
        <v>14</v>
      </c>
      <c r="U152" s="1" t="s">
        <v>53</v>
      </c>
      <c r="V152" s="1" t="s">
        <v>19</v>
      </c>
      <c r="W152" s="1" t="s">
        <v>29</v>
      </c>
      <c r="X152" s="1">
        <v>1.52</v>
      </c>
      <c r="Y152" s="1">
        <v>62</v>
      </c>
      <c r="Z152" s="3">
        <f t="shared" si="4"/>
        <v>26.835180055401661</v>
      </c>
      <c r="AA152" s="1">
        <v>96</v>
      </c>
      <c r="AB152" s="1">
        <v>81</v>
      </c>
      <c r="AC152" s="3">
        <f t="shared" si="5"/>
        <v>0.84375</v>
      </c>
      <c r="AD152" t="s">
        <v>230</v>
      </c>
      <c r="AE152">
        <v>76</v>
      </c>
      <c r="AF152">
        <v>20</v>
      </c>
      <c r="AG152">
        <v>37.200000000000003</v>
      </c>
      <c r="AH152">
        <v>7.4</v>
      </c>
    </row>
    <row r="153" spans="1:34" x14ac:dyDescent="0.25">
      <c r="A153" s="1">
        <v>151</v>
      </c>
      <c r="B153" s="1">
        <v>65</v>
      </c>
      <c r="C153" s="1" t="s">
        <v>32</v>
      </c>
      <c r="D153" s="1" t="s">
        <v>42</v>
      </c>
      <c r="E153" s="1" t="s">
        <v>22</v>
      </c>
      <c r="F153" s="1" t="s">
        <v>38</v>
      </c>
      <c r="G153" s="1">
        <v>1996</v>
      </c>
      <c r="H153" s="1">
        <v>18</v>
      </c>
      <c r="I153" s="1">
        <v>6</v>
      </c>
      <c r="J153" s="1" t="s">
        <v>14</v>
      </c>
      <c r="K153" s="1" t="s">
        <v>15</v>
      </c>
      <c r="L153" s="1" t="s">
        <v>16</v>
      </c>
      <c r="M153" s="1" t="s">
        <v>16</v>
      </c>
      <c r="N153" s="1" t="s">
        <v>33</v>
      </c>
      <c r="O153" s="1" t="s">
        <v>29</v>
      </c>
      <c r="P153" s="1" t="s">
        <v>29</v>
      </c>
      <c r="Q153" s="1" t="s">
        <v>19</v>
      </c>
      <c r="R153" s="1" t="s">
        <v>29</v>
      </c>
      <c r="S153" s="1" t="s">
        <v>29</v>
      </c>
      <c r="T153" s="1" t="s">
        <v>14</v>
      </c>
      <c r="U153" s="1" t="s">
        <v>41</v>
      </c>
      <c r="V153" s="1" t="s">
        <v>14</v>
      </c>
      <c r="W153" s="1" t="s">
        <v>49</v>
      </c>
      <c r="X153" s="1">
        <v>1.64</v>
      </c>
      <c r="Y153" s="1">
        <v>81</v>
      </c>
      <c r="Z153" s="3">
        <f t="shared" si="4"/>
        <v>30.116002379535995</v>
      </c>
      <c r="AA153" s="1">
        <v>123</v>
      </c>
      <c r="AB153" s="1">
        <v>84</v>
      </c>
      <c r="AC153" s="3">
        <f t="shared" si="5"/>
        <v>0.68292682926829273</v>
      </c>
      <c r="AD153" t="s">
        <v>231</v>
      </c>
      <c r="AE153">
        <v>86</v>
      </c>
      <c r="AF153">
        <v>20</v>
      </c>
      <c r="AG153">
        <v>37.1</v>
      </c>
      <c r="AH153">
        <v>17.100000000000001</v>
      </c>
    </row>
    <row r="154" spans="1:34" x14ac:dyDescent="0.25">
      <c r="A154" s="1">
        <v>152</v>
      </c>
      <c r="B154" s="1">
        <v>61</v>
      </c>
      <c r="C154" s="1" t="s">
        <v>32</v>
      </c>
      <c r="D154" s="1" t="s">
        <v>42</v>
      </c>
      <c r="E154" s="1" t="s">
        <v>36</v>
      </c>
      <c r="F154" s="1" t="s">
        <v>23</v>
      </c>
      <c r="G154" s="1">
        <v>2010</v>
      </c>
      <c r="H154" s="1">
        <v>4</v>
      </c>
      <c r="I154" s="1">
        <v>4</v>
      </c>
      <c r="J154" s="1" t="s">
        <v>14</v>
      </c>
      <c r="K154" s="1" t="s">
        <v>15</v>
      </c>
      <c r="L154" s="1" t="s">
        <v>16</v>
      </c>
      <c r="M154" s="1" t="s">
        <v>17</v>
      </c>
      <c r="N154" s="1" t="s">
        <v>33</v>
      </c>
      <c r="O154" s="1" t="s">
        <v>29</v>
      </c>
      <c r="P154" s="1" t="s">
        <v>29</v>
      </c>
      <c r="Q154" s="1" t="s">
        <v>19</v>
      </c>
      <c r="R154" s="1" t="s">
        <v>29</v>
      </c>
      <c r="S154" s="1" t="s">
        <v>29</v>
      </c>
      <c r="T154" s="1" t="s">
        <v>19</v>
      </c>
      <c r="U154" s="1" t="s">
        <v>29</v>
      </c>
      <c r="V154" s="1" t="s">
        <v>14</v>
      </c>
      <c r="W154" s="1" t="s">
        <v>79</v>
      </c>
      <c r="X154" s="1">
        <v>1.54</v>
      </c>
      <c r="Y154" s="1">
        <v>80</v>
      </c>
      <c r="Z154" s="3">
        <f t="shared" si="4"/>
        <v>33.732501264968796</v>
      </c>
      <c r="AA154" s="1">
        <v>124</v>
      </c>
      <c r="AB154" s="1">
        <v>113</v>
      </c>
      <c r="AC154" s="3">
        <f t="shared" si="5"/>
        <v>0.91129032258064513</v>
      </c>
      <c r="AD154" t="s">
        <v>173</v>
      </c>
      <c r="AE154">
        <v>82</v>
      </c>
      <c r="AF154">
        <v>18</v>
      </c>
      <c r="AG154">
        <v>37</v>
      </c>
      <c r="AH154">
        <v>11.7</v>
      </c>
    </row>
    <row r="155" spans="1:34" x14ac:dyDescent="0.25">
      <c r="A155" s="1">
        <v>153</v>
      </c>
      <c r="B155" s="1">
        <v>37</v>
      </c>
      <c r="C155" s="1" t="s">
        <v>32</v>
      </c>
      <c r="D155" s="1" t="s">
        <v>21</v>
      </c>
      <c r="E155" s="1" t="s">
        <v>22</v>
      </c>
      <c r="F155" s="1" t="s">
        <v>43</v>
      </c>
      <c r="G155" s="1">
        <v>2013</v>
      </c>
      <c r="H155" s="1">
        <v>1</v>
      </c>
      <c r="I155" s="1">
        <v>4</v>
      </c>
      <c r="J155" s="1" t="s">
        <v>19</v>
      </c>
      <c r="K155" s="1" t="s">
        <v>29</v>
      </c>
      <c r="L155" s="1" t="s">
        <v>18</v>
      </c>
      <c r="M155" s="1" t="s">
        <v>16</v>
      </c>
      <c r="N155" s="1" t="s">
        <v>33</v>
      </c>
      <c r="O155" s="1" t="s">
        <v>29</v>
      </c>
      <c r="P155" s="1" t="s">
        <v>29</v>
      </c>
      <c r="Q155" s="1" t="s">
        <v>19</v>
      </c>
      <c r="R155" s="1" t="s">
        <v>29</v>
      </c>
      <c r="S155" s="1" t="s">
        <v>29</v>
      </c>
      <c r="T155" s="1" t="s">
        <v>14</v>
      </c>
      <c r="U155" s="1" t="s">
        <v>73</v>
      </c>
      <c r="V155" s="1" t="s">
        <v>14</v>
      </c>
      <c r="W155" s="1" t="s">
        <v>75</v>
      </c>
      <c r="X155" s="1">
        <v>1.66</v>
      </c>
      <c r="Y155" s="1">
        <v>78</v>
      </c>
      <c r="Z155" s="3">
        <f t="shared" si="4"/>
        <v>28.305995064595734</v>
      </c>
      <c r="AA155" s="1">
        <v>108</v>
      </c>
      <c r="AB155" s="1">
        <v>98</v>
      </c>
      <c r="AC155" s="3">
        <f t="shared" si="5"/>
        <v>0.90740740740740744</v>
      </c>
      <c r="AD155" t="s">
        <v>232</v>
      </c>
      <c r="AE155">
        <v>78</v>
      </c>
      <c r="AF155">
        <v>18</v>
      </c>
      <c r="AG155">
        <v>37.299999999999997</v>
      </c>
      <c r="AH155">
        <v>16.8</v>
      </c>
    </row>
    <row r="156" spans="1:34" x14ac:dyDescent="0.25">
      <c r="A156" s="1">
        <v>154</v>
      </c>
      <c r="B156" s="1">
        <v>60</v>
      </c>
      <c r="C156" s="1" t="s">
        <v>32</v>
      </c>
      <c r="D156" s="1" t="s">
        <v>42</v>
      </c>
      <c r="E156" s="1" t="s">
        <v>22</v>
      </c>
      <c r="F156" s="1" t="s">
        <v>38</v>
      </c>
      <c r="G156" s="1">
        <v>1998</v>
      </c>
      <c r="H156" s="1">
        <v>16</v>
      </c>
      <c r="I156" s="1">
        <v>3</v>
      </c>
      <c r="J156" s="1" t="s">
        <v>14</v>
      </c>
      <c r="K156" s="1" t="s">
        <v>15</v>
      </c>
      <c r="L156" s="1" t="s">
        <v>18</v>
      </c>
      <c r="M156" s="1" t="s">
        <v>29</v>
      </c>
      <c r="N156" s="1" t="s">
        <v>33</v>
      </c>
      <c r="O156" s="1" t="s">
        <v>29</v>
      </c>
      <c r="P156" s="1" t="s">
        <v>29</v>
      </c>
      <c r="Q156" s="1" t="s">
        <v>19</v>
      </c>
      <c r="R156" s="1" t="s">
        <v>29</v>
      </c>
      <c r="S156" s="1" t="s">
        <v>29</v>
      </c>
      <c r="T156" s="1" t="s">
        <v>19</v>
      </c>
      <c r="U156" s="1" t="s">
        <v>29</v>
      </c>
      <c r="V156" s="1" t="s">
        <v>19</v>
      </c>
      <c r="W156" s="1" t="s">
        <v>29</v>
      </c>
      <c r="X156" s="1">
        <v>1.58</v>
      </c>
      <c r="Y156" s="1">
        <v>72</v>
      </c>
      <c r="Z156" s="3">
        <f t="shared" si="4"/>
        <v>28.841531805800347</v>
      </c>
      <c r="AA156" s="1">
        <v>113</v>
      </c>
      <c r="AB156" s="1">
        <v>98</v>
      </c>
      <c r="AC156" s="3">
        <f t="shared" si="5"/>
        <v>0.86725663716814161</v>
      </c>
      <c r="AD156" t="s">
        <v>233</v>
      </c>
      <c r="AE156">
        <v>104</v>
      </c>
      <c r="AF156">
        <v>18</v>
      </c>
      <c r="AG156">
        <v>37.200000000000003</v>
      </c>
      <c r="AH156">
        <v>7</v>
      </c>
    </row>
    <row r="157" spans="1:34" x14ac:dyDescent="0.25">
      <c r="A157" s="1">
        <v>155</v>
      </c>
      <c r="B157" s="1">
        <v>88</v>
      </c>
      <c r="C157" s="1" t="s">
        <v>11</v>
      </c>
      <c r="D157" s="1" t="s">
        <v>21</v>
      </c>
      <c r="E157" s="1" t="s">
        <v>22</v>
      </c>
      <c r="F157" s="1" t="s">
        <v>38</v>
      </c>
      <c r="G157" s="1">
        <v>1984</v>
      </c>
      <c r="H157" s="1">
        <v>30</v>
      </c>
      <c r="I157" s="1">
        <v>4</v>
      </c>
      <c r="J157" s="1" t="s">
        <v>14</v>
      </c>
      <c r="K157" s="1" t="s">
        <v>15</v>
      </c>
      <c r="L157" s="1" t="s">
        <v>16</v>
      </c>
      <c r="M157" s="1" t="s">
        <v>17</v>
      </c>
      <c r="N157" s="1" t="s">
        <v>25</v>
      </c>
      <c r="O157" s="1" t="s">
        <v>26</v>
      </c>
      <c r="P157" s="1" t="s">
        <v>40</v>
      </c>
      <c r="Q157" s="1" t="s">
        <v>14</v>
      </c>
      <c r="R157" s="1" t="s">
        <v>27</v>
      </c>
      <c r="S157" s="1" t="s">
        <v>27</v>
      </c>
      <c r="T157" s="1" t="s">
        <v>19</v>
      </c>
      <c r="U157" s="1" t="s">
        <v>29</v>
      </c>
      <c r="V157" s="1" t="s">
        <v>19</v>
      </c>
      <c r="W157" s="1" t="s">
        <v>29</v>
      </c>
      <c r="X157" s="1">
        <v>1.68</v>
      </c>
      <c r="Y157" s="1">
        <v>64</v>
      </c>
      <c r="Z157" s="3">
        <f t="shared" si="4"/>
        <v>22.67573696145125</v>
      </c>
      <c r="AA157" s="1">
        <v>101</v>
      </c>
      <c r="AB157" s="1">
        <v>98</v>
      </c>
      <c r="AC157" s="3">
        <f t="shared" si="5"/>
        <v>0.97029702970297027</v>
      </c>
      <c r="AD157" t="s">
        <v>234</v>
      </c>
      <c r="AE157">
        <v>112</v>
      </c>
      <c r="AF157">
        <v>14</v>
      </c>
      <c r="AG157">
        <v>36.799999999999997</v>
      </c>
      <c r="AH157">
        <v>8.1</v>
      </c>
    </row>
    <row r="158" spans="1:34" x14ac:dyDescent="0.25">
      <c r="A158" s="1">
        <v>156</v>
      </c>
      <c r="B158" s="1">
        <v>43</v>
      </c>
      <c r="C158" s="1" t="s">
        <v>32</v>
      </c>
      <c r="D158" s="1" t="s">
        <v>35</v>
      </c>
      <c r="E158" s="1" t="s">
        <v>36</v>
      </c>
      <c r="F158" s="1" t="s">
        <v>38</v>
      </c>
      <c r="G158" s="1">
        <v>2003</v>
      </c>
      <c r="H158" s="1">
        <v>11</v>
      </c>
      <c r="I158" s="1">
        <v>4</v>
      </c>
      <c r="J158" s="1" t="s">
        <v>14</v>
      </c>
      <c r="K158" s="1" t="s">
        <v>15</v>
      </c>
      <c r="L158" s="1" t="s">
        <v>16</v>
      </c>
      <c r="M158" s="1" t="s">
        <v>29</v>
      </c>
      <c r="N158" s="1" t="s">
        <v>33</v>
      </c>
      <c r="O158" s="1" t="s">
        <v>29</v>
      </c>
      <c r="P158" s="1" t="s">
        <v>29</v>
      </c>
      <c r="Q158" s="1" t="s">
        <v>19</v>
      </c>
      <c r="R158" s="1" t="s">
        <v>29</v>
      </c>
      <c r="S158" s="1" t="s">
        <v>29</v>
      </c>
      <c r="T158" s="1" t="s">
        <v>14</v>
      </c>
      <c r="U158" s="1" t="s">
        <v>59</v>
      </c>
      <c r="V158" s="1" t="s">
        <v>14</v>
      </c>
      <c r="W158" s="1" t="s">
        <v>59</v>
      </c>
      <c r="X158" s="1">
        <v>1.64</v>
      </c>
      <c r="Y158" s="1">
        <v>68</v>
      </c>
      <c r="Z158" s="3">
        <f t="shared" si="4"/>
        <v>25.282569898869724</v>
      </c>
      <c r="AA158" s="1">
        <v>109</v>
      </c>
      <c r="AB158" s="1">
        <v>88</v>
      </c>
      <c r="AC158" s="3">
        <f t="shared" si="5"/>
        <v>0.80733944954128445</v>
      </c>
      <c r="AD158" t="s">
        <v>235</v>
      </c>
      <c r="AE158">
        <v>104</v>
      </c>
      <c r="AF158">
        <v>16</v>
      </c>
      <c r="AG158">
        <v>37</v>
      </c>
      <c r="AH158">
        <v>17.8</v>
      </c>
    </row>
    <row r="159" spans="1:34" x14ac:dyDescent="0.25">
      <c r="A159" s="1">
        <v>157</v>
      </c>
      <c r="B159" s="1">
        <v>51</v>
      </c>
      <c r="C159" s="1" t="s">
        <v>32</v>
      </c>
      <c r="D159" s="1" t="s">
        <v>35</v>
      </c>
      <c r="E159" s="1" t="s">
        <v>36</v>
      </c>
      <c r="F159" s="1" t="s">
        <v>38</v>
      </c>
      <c r="G159" s="1">
        <v>2008</v>
      </c>
      <c r="H159" s="1">
        <v>6</v>
      </c>
      <c r="I159" s="1">
        <v>5</v>
      </c>
      <c r="J159" s="1" t="s">
        <v>14</v>
      </c>
      <c r="K159" s="1" t="s">
        <v>15</v>
      </c>
      <c r="L159" s="1" t="s">
        <v>16</v>
      </c>
      <c r="M159" s="1" t="s">
        <v>17</v>
      </c>
      <c r="N159" s="1" t="s">
        <v>33</v>
      </c>
      <c r="O159" s="1" t="s">
        <v>29</v>
      </c>
      <c r="P159" s="1" t="s">
        <v>29</v>
      </c>
      <c r="Q159" s="1" t="s">
        <v>19</v>
      </c>
      <c r="R159" s="1" t="s">
        <v>29</v>
      </c>
      <c r="S159" s="1" t="s">
        <v>29</v>
      </c>
      <c r="T159" s="1" t="s">
        <v>19</v>
      </c>
      <c r="U159" s="1" t="s">
        <v>29</v>
      </c>
      <c r="V159" s="1" t="s">
        <v>19</v>
      </c>
      <c r="W159" s="1" t="s">
        <v>29</v>
      </c>
      <c r="X159" s="1">
        <v>1.62</v>
      </c>
      <c r="Y159" s="1">
        <v>79</v>
      </c>
      <c r="Z159" s="3">
        <f t="shared" si="4"/>
        <v>30.102118579484827</v>
      </c>
      <c r="AA159" s="1">
        <v>113</v>
      </c>
      <c r="AB159" s="1">
        <v>101</v>
      </c>
      <c r="AC159" s="3">
        <f t="shared" si="5"/>
        <v>0.89380530973451322</v>
      </c>
      <c r="AD159" t="s">
        <v>167</v>
      </c>
      <c r="AE159">
        <v>104</v>
      </c>
      <c r="AF159">
        <v>18</v>
      </c>
      <c r="AG159">
        <v>37.1</v>
      </c>
      <c r="AH159">
        <v>11</v>
      </c>
    </row>
    <row r="160" spans="1:34" x14ac:dyDescent="0.25">
      <c r="A160" s="1">
        <v>158</v>
      </c>
      <c r="B160" s="1">
        <v>52</v>
      </c>
      <c r="C160" s="1" t="s">
        <v>32</v>
      </c>
      <c r="D160" s="1" t="s">
        <v>21</v>
      </c>
      <c r="E160" s="1" t="s">
        <v>34</v>
      </c>
      <c r="F160" s="1" t="s">
        <v>50</v>
      </c>
      <c r="G160" s="1">
        <v>2012</v>
      </c>
      <c r="H160" s="1">
        <v>2</v>
      </c>
      <c r="I160" s="1">
        <v>4</v>
      </c>
      <c r="J160" s="1" t="s">
        <v>14</v>
      </c>
      <c r="K160" s="1" t="s">
        <v>15</v>
      </c>
      <c r="L160" s="1" t="s">
        <v>29</v>
      </c>
      <c r="M160" s="1" t="s">
        <v>17</v>
      </c>
      <c r="N160" s="1" t="s">
        <v>33</v>
      </c>
      <c r="O160" s="1" t="s">
        <v>29</v>
      </c>
      <c r="P160" s="1" t="s">
        <v>29</v>
      </c>
      <c r="Q160" s="1" t="s">
        <v>19</v>
      </c>
      <c r="R160" s="1" t="s">
        <v>29</v>
      </c>
      <c r="S160" s="1" t="s">
        <v>29</v>
      </c>
      <c r="T160" s="1" t="s">
        <v>14</v>
      </c>
      <c r="U160" s="1" t="s">
        <v>79</v>
      </c>
      <c r="V160" s="1" t="s">
        <v>14</v>
      </c>
      <c r="W160" s="1" t="s">
        <v>79</v>
      </c>
      <c r="X160" s="1">
        <v>1.83</v>
      </c>
      <c r="Y160" s="1">
        <v>120</v>
      </c>
      <c r="Z160" s="3">
        <f t="shared" si="4"/>
        <v>35.832661470930752</v>
      </c>
      <c r="AA160" s="1">
        <v>139</v>
      </c>
      <c r="AB160" s="1">
        <v>120</v>
      </c>
      <c r="AC160" s="3">
        <f t="shared" si="5"/>
        <v>0.86330935251798557</v>
      </c>
      <c r="AD160" t="s">
        <v>178</v>
      </c>
      <c r="AE160">
        <v>106</v>
      </c>
      <c r="AF160">
        <v>16</v>
      </c>
      <c r="AG160">
        <v>37</v>
      </c>
    </row>
    <row r="161" spans="1:34" x14ac:dyDescent="0.25">
      <c r="A161" s="1">
        <v>159</v>
      </c>
      <c r="B161" s="1">
        <v>70</v>
      </c>
      <c r="C161" s="1" t="s">
        <v>32</v>
      </c>
      <c r="D161" s="1" t="s">
        <v>21</v>
      </c>
      <c r="E161" s="1" t="s">
        <v>22</v>
      </c>
      <c r="F161" s="1" t="s">
        <v>43</v>
      </c>
      <c r="G161" s="1">
        <v>2000</v>
      </c>
      <c r="H161" s="1">
        <v>14</v>
      </c>
      <c r="I161" s="1">
        <v>3</v>
      </c>
      <c r="J161" s="1" t="s">
        <v>14</v>
      </c>
      <c r="K161" s="1" t="s">
        <v>15</v>
      </c>
      <c r="L161" s="1" t="s">
        <v>16</v>
      </c>
      <c r="M161" s="1" t="s">
        <v>17</v>
      </c>
      <c r="N161" s="1" t="s">
        <v>33</v>
      </c>
      <c r="O161" s="1" t="s">
        <v>29</v>
      </c>
      <c r="P161" s="1" t="s">
        <v>29</v>
      </c>
      <c r="Q161" s="1" t="s">
        <v>19</v>
      </c>
      <c r="R161" s="1" t="s">
        <v>29</v>
      </c>
      <c r="S161" s="1" t="s">
        <v>29</v>
      </c>
      <c r="T161" s="1" t="s">
        <v>19</v>
      </c>
      <c r="U161" s="1" t="s">
        <v>29</v>
      </c>
      <c r="V161" s="1" t="s">
        <v>19</v>
      </c>
      <c r="W161" s="1" t="s">
        <v>29</v>
      </c>
      <c r="X161" s="1">
        <v>1.57</v>
      </c>
      <c r="Y161" s="1">
        <v>73</v>
      </c>
      <c r="Z161" s="3">
        <f t="shared" si="4"/>
        <v>29.615805915047261</v>
      </c>
      <c r="AA161" s="1">
        <v>118</v>
      </c>
      <c r="AB161" s="1">
        <v>110</v>
      </c>
      <c r="AC161" s="3">
        <f t="shared" si="5"/>
        <v>0.93220338983050843</v>
      </c>
      <c r="AD161" t="s">
        <v>236</v>
      </c>
      <c r="AE161">
        <v>87</v>
      </c>
      <c r="AF161">
        <v>20</v>
      </c>
      <c r="AG161">
        <v>36.799999999999997</v>
      </c>
      <c r="AH161">
        <v>13.1</v>
      </c>
    </row>
    <row r="162" spans="1:34" x14ac:dyDescent="0.25">
      <c r="A162" s="1">
        <v>160</v>
      </c>
      <c r="B162" s="1">
        <v>69</v>
      </c>
      <c r="C162" s="1" t="s">
        <v>11</v>
      </c>
      <c r="D162" s="1" t="s">
        <v>21</v>
      </c>
      <c r="E162" s="1" t="s">
        <v>22</v>
      </c>
      <c r="F162" s="1" t="s">
        <v>23</v>
      </c>
      <c r="G162" s="1">
        <v>1999</v>
      </c>
      <c r="H162" s="1">
        <v>5</v>
      </c>
      <c r="I162" s="1">
        <v>4</v>
      </c>
      <c r="J162" s="1" t="s">
        <v>19</v>
      </c>
      <c r="K162" s="1" t="s">
        <v>29</v>
      </c>
      <c r="L162" s="1" t="s">
        <v>16</v>
      </c>
      <c r="M162" s="1" t="s">
        <v>17</v>
      </c>
      <c r="N162" s="1" t="s">
        <v>25</v>
      </c>
      <c r="O162" s="1" t="s">
        <v>26</v>
      </c>
      <c r="P162" s="1" t="s">
        <v>40</v>
      </c>
      <c r="Q162" s="1" t="s">
        <v>14</v>
      </c>
      <c r="R162" s="4" t="s">
        <v>61</v>
      </c>
      <c r="S162" s="4" t="s">
        <v>61</v>
      </c>
      <c r="T162" s="1" t="s">
        <v>14</v>
      </c>
      <c r="U162" s="1" t="s">
        <v>53</v>
      </c>
      <c r="V162" s="1" t="s">
        <v>19</v>
      </c>
      <c r="W162" s="1" t="s">
        <v>29</v>
      </c>
      <c r="X162" s="1">
        <v>1.65</v>
      </c>
      <c r="Y162" s="1">
        <v>56</v>
      </c>
      <c r="Z162" s="3">
        <f t="shared" si="4"/>
        <v>20.569329660238754</v>
      </c>
      <c r="AA162" s="1">
        <v>88</v>
      </c>
      <c r="AB162" s="1">
        <v>85</v>
      </c>
      <c r="AC162" s="3">
        <f t="shared" si="5"/>
        <v>0.96590909090909094</v>
      </c>
      <c r="AD162" t="s">
        <v>214</v>
      </c>
      <c r="AE162">
        <v>78</v>
      </c>
      <c r="AF162">
        <v>16</v>
      </c>
      <c r="AG162">
        <v>37</v>
      </c>
      <c r="AH162">
        <v>10</v>
      </c>
    </row>
    <row r="163" spans="1:34" x14ac:dyDescent="0.25">
      <c r="A163" s="1">
        <v>161</v>
      </c>
      <c r="B163" s="1">
        <v>49</v>
      </c>
      <c r="C163" s="1" t="s">
        <v>11</v>
      </c>
      <c r="D163" s="1" t="s">
        <v>42</v>
      </c>
      <c r="E163" s="1" t="s">
        <v>34</v>
      </c>
      <c r="F163" s="1" t="s">
        <v>50</v>
      </c>
      <c r="G163" s="1">
        <v>1992</v>
      </c>
      <c r="H163" s="1">
        <v>22</v>
      </c>
      <c r="I163" s="1">
        <v>4</v>
      </c>
      <c r="J163" s="1" t="s">
        <v>14</v>
      </c>
      <c r="K163" s="1" t="s">
        <v>15</v>
      </c>
      <c r="L163" s="1" t="s">
        <v>18</v>
      </c>
      <c r="M163" s="1" t="s">
        <v>16</v>
      </c>
      <c r="N163" s="1" t="s">
        <v>25</v>
      </c>
      <c r="O163" s="1" t="s">
        <v>26</v>
      </c>
      <c r="P163" s="1" t="s">
        <v>40</v>
      </c>
      <c r="Q163" s="1" t="s">
        <v>14</v>
      </c>
      <c r="R163" s="1" t="s">
        <v>30</v>
      </c>
      <c r="S163" s="1" t="s">
        <v>30</v>
      </c>
      <c r="T163" s="1" t="s">
        <v>14</v>
      </c>
      <c r="U163" s="1" t="s">
        <v>59</v>
      </c>
      <c r="V163" s="1" t="s">
        <v>19</v>
      </c>
      <c r="W163" s="1" t="s">
        <v>29</v>
      </c>
      <c r="X163" s="1">
        <v>1.88</v>
      </c>
      <c r="Y163" s="1">
        <v>87</v>
      </c>
      <c r="Z163" s="3">
        <f t="shared" si="4"/>
        <v>24.615210502489816</v>
      </c>
      <c r="AA163" s="1">
        <v>96</v>
      </c>
      <c r="AB163" s="1">
        <v>100</v>
      </c>
      <c r="AC163" s="3">
        <f t="shared" si="5"/>
        <v>1.0416666666666667</v>
      </c>
      <c r="AD163" t="s">
        <v>237</v>
      </c>
      <c r="AE163">
        <v>64</v>
      </c>
      <c r="AF163">
        <v>16</v>
      </c>
      <c r="AG163">
        <v>36.4</v>
      </c>
      <c r="AH163">
        <v>5.0999999999999996</v>
      </c>
    </row>
    <row r="164" spans="1:34" x14ac:dyDescent="0.25">
      <c r="A164" s="1">
        <v>162</v>
      </c>
      <c r="B164" s="1">
        <v>70</v>
      </c>
      <c r="C164" s="1" t="s">
        <v>32</v>
      </c>
      <c r="D164" s="1" t="s">
        <v>42</v>
      </c>
      <c r="E164" s="1" t="s">
        <v>37</v>
      </c>
      <c r="F164" s="1" t="s">
        <v>43</v>
      </c>
      <c r="G164" s="1">
        <v>2006</v>
      </c>
      <c r="H164" s="1">
        <v>8</v>
      </c>
      <c r="I164" s="1">
        <v>4</v>
      </c>
      <c r="J164" s="1" t="s">
        <v>14</v>
      </c>
      <c r="K164" s="1" t="s">
        <v>15</v>
      </c>
      <c r="L164" s="1" t="s">
        <v>129</v>
      </c>
      <c r="M164" s="1" t="s">
        <v>29</v>
      </c>
      <c r="N164" s="1" t="s">
        <v>33</v>
      </c>
      <c r="O164" s="1" t="s">
        <v>29</v>
      </c>
      <c r="P164" s="1" t="s">
        <v>29</v>
      </c>
      <c r="Q164" s="1" t="s">
        <v>19</v>
      </c>
      <c r="R164" s="1" t="s">
        <v>29</v>
      </c>
      <c r="S164" s="1" t="s">
        <v>29</v>
      </c>
      <c r="T164" s="1" t="s">
        <v>19</v>
      </c>
      <c r="U164" s="1" t="s">
        <v>29</v>
      </c>
      <c r="V164" s="1" t="s">
        <v>19</v>
      </c>
      <c r="W164" s="1" t="s">
        <v>29</v>
      </c>
      <c r="X164" s="1">
        <v>1.5</v>
      </c>
      <c r="Y164" s="1">
        <v>55</v>
      </c>
      <c r="Z164" s="3">
        <f t="shared" si="4"/>
        <v>24.444444444444443</v>
      </c>
      <c r="AA164" s="1">
        <v>100</v>
      </c>
      <c r="AB164" s="1">
        <v>98</v>
      </c>
      <c r="AC164" s="3">
        <f t="shared" si="5"/>
        <v>0.98</v>
      </c>
      <c r="AD164" t="s">
        <v>238</v>
      </c>
      <c r="AE164">
        <v>80</v>
      </c>
      <c r="AF164">
        <v>20</v>
      </c>
      <c r="AG164">
        <v>37</v>
      </c>
      <c r="AH164">
        <v>8.6999999999999993</v>
      </c>
    </row>
    <row r="165" spans="1:34" x14ac:dyDescent="0.25">
      <c r="A165" s="1">
        <v>163</v>
      </c>
      <c r="B165" s="1">
        <v>75</v>
      </c>
      <c r="C165" s="1" t="s">
        <v>11</v>
      </c>
      <c r="D165" s="1" t="s">
        <v>21</v>
      </c>
      <c r="E165" s="1" t="s">
        <v>22</v>
      </c>
      <c r="F165" s="1" t="s">
        <v>38</v>
      </c>
      <c r="G165" s="1">
        <v>2009</v>
      </c>
      <c r="H165" s="1">
        <v>5</v>
      </c>
      <c r="I165" s="1">
        <v>4</v>
      </c>
      <c r="J165" s="1" t="s">
        <v>14</v>
      </c>
      <c r="K165" s="1" t="s">
        <v>15</v>
      </c>
      <c r="L165" s="1" t="s">
        <v>12</v>
      </c>
      <c r="M165" s="1" t="s">
        <v>29</v>
      </c>
      <c r="N165" s="1" t="s">
        <v>25</v>
      </c>
      <c r="O165" s="1" t="s">
        <v>26</v>
      </c>
      <c r="P165" s="1" t="s">
        <v>29</v>
      </c>
      <c r="Q165" s="1" t="s">
        <v>19</v>
      </c>
      <c r="R165" s="1" t="s">
        <v>29</v>
      </c>
      <c r="S165" s="1" t="s">
        <v>29</v>
      </c>
      <c r="T165" s="1" t="s">
        <v>19</v>
      </c>
      <c r="U165" s="1" t="s">
        <v>29</v>
      </c>
      <c r="V165" s="1" t="s">
        <v>19</v>
      </c>
      <c r="W165" s="1" t="s">
        <v>29</v>
      </c>
      <c r="X165" s="1">
        <v>1.75</v>
      </c>
      <c r="Y165" s="1">
        <v>88</v>
      </c>
      <c r="Z165" s="3">
        <f t="shared" si="4"/>
        <v>28.73469387755102</v>
      </c>
      <c r="AA165" s="1">
        <v>120</v>
      </c>
      <c r="AB165" s="1">
        <v>110</v>
      </c>
      <c r="AC165" s="3">
        <f t="shared" si="5"/>
        <v>0.91666666666666663</v>
      </c>
      <c r="AD165" t="s">
        <v>172</v>
      </c>
      <c r="AE165">
        <v>92</v>
      </c>
      <c r="AF165">
        <v>12</v>
      </c>
      <c r="AG165">
        <v>37</v>
      </c>
    </row>
    <row r="166" spans="1:34" x14ac:dyDescent="0.25">
      <c r="A166" s="1">
        <v>164</v>
      </c>
      <c r="B166" s="1">
        <v>71</v>
      </c>
      <c r="C166" s="1" t="s">
        <v>32</v>
      </c>
      <c r="D166" s="1" t="s">
        <v>42</v>
      </c>
      <c r="E166" s="1" t="s">
        <v>22</v>
      </c>
      <c r="F166" s="1" t="s">
        <v>43</v>
      </c>
      <c r="G166" s="1">
        <v>2013</v>
      </c>
      <c r="H166" s="1">
        <v>1</v>
      </c>
      <c r="I166" s="1">
        <v>5</v>
      </c>
      <c r="J166" s="1" t="s">
        <v>14</v>
      </c>
      <c r="K166" s="1" t="s">
        <v>15</v>
      </c>
      <c r="L166" s="1" t="s">
        <v>18</v>
      </c>
      <c r="M166" s="1" t="s">
        <v>17</v>
      </c>
      <c r="N166" s="1" t="s">
        <v>33</v>
      </c>
      <c r="O166" s="1" t="s">
        <v>29</v>
      </c>
      <c r="P166" s="1" t="s">
        <v>29</v>
      </c>
      <c r="Q166" s="1" t="s">
        <v>19</v>
      </c>
      <c r="R166" s="1" t="s">
        <v>29</v>
      </c>
      <c r="S166" s="1" t="s">
        <v>29</v>
      </c>
      <c r="T166" s="1" t="s">
        <v>19</v>
      </c>
      <c r="U166" s="1" t="s">
        <v>29</v>
      </c>
      <c r="V166" s="1" t="s">
        <v>19</v>
      </c>
      <c r="W166" s="1" t="s">
        <v>29</v>
      </c>
      <c r="X166" s="1">
        <v>1.7</v>
      </c>
      <c r="Y166" s="1">
        <v>75</v>
      </c>
      <c r="Z166" s="3">
        <f t="shared" si="4"/>
        <v>25.95155709342561</v>
      </c>
      <c r="AA166" s="1">
        <v>115</v>
      </c>
      <c r="AB166" s="1">
        <v>100</v>
      </c>
      <c r="AC166" s="3">
        <f t="shared" si="5"/>
        <v>0.86956521739130432</v>
      </c>
      <c r="AD166" t="s">
        <v>239</v>
      </c>
      <c r="AE166">
        <v>116</v>
      </c>
      <c r="AF166">
        <v>14</v>
      </c>
      <c r="AG166">
        <v>36.4</v>
      </c>
      <c r="AH166">
        <v>9.8000000000000007</v>
      </c>
    </row>
    <row r="167" spans="1:34" x14ac:dyDescent="0.25">
      <c r="A167" s="1">
        <v>165</v>
      </c>
      <c r="B167" s="1">
        <v>52</v>
      </c>
      <c r="C167" s="1" t="s">
        <v>32</v>
      </c>
      <c r="D167" s="1" t="s">
        <v>21</v>
      </c>
      <c r="E167" s="1" t="s">
        <v>22</v>
      </c>
      <c r="F167" s="1" t="s">
        <v>38</v>
      </c>
      <c r="G167" s="1">
        <v>2006</v>
      </c>
      <c r="H167" s="1">
        <v>8</v>
      </c>
      <c r="I167" s="1">
        <v>4</v>
      </c>
      <c r="J167" s="1" t="s">
        <v>14</v>
      </c>
      <c r="K167" s="1" t="s">
        <v>15</v>
      </c>
      <c r="L167" s="1" t="s">
        <v>16</v>
      </c>
      <c r="M167" s="1" t="s">
        <v>29</v>
      </c>
      <c r="N167" s="1" t="s">
        <v>33</v>
      </c>
      <c r="O167" s="1" t="s">
        <v>29</v>
      </c>
      <c r="P167" s="1" t="s">
        <v>29</v>
      </c>
      <c r="Q167" s="1" t="s">
        <v>19</v>
      </c>
      <c r="R167" s="1" t="s">
        <v>29</v>
      </c>
      <c r="S167" s="1" t="s">
        <v>29</v>
      </c>
      <c r="T167" s="1" t="s">
        <v>14</v>
      </c>
      <c r="U167" s="1" t="s">
        <v>130</v>
      </c>
      <c r="V167" s="1" t="s">
        <v>14</v>
      </c>
      <c r="W167" s="1" t="s">
        <v>130</v>
      </c>
      <c r="X167" s="1">
        <v>1.72</v>
      </c>
      <c r="Y167" s="1">
        <v>64</v>
      </c>
      <c r="Z167" s="3">
        <f t="shared" si="4"/>
        <v>21.63331530557058</v>
      </c>
      <c r="AA167" s="1">
        <v>112</v>
      </c>
      <c r="AB167" s="1">
        <v>96</v>
      </c>
      <c r="AC167" s="3">
        <f t="shared" si="5"/>
        <v>0.8571428571428571</v>
      </c>
      <c r="AD167" t="s">
        <v>240</v>
      </c>
      <c r="AE167">
        <v>74</v>
      </c>
      <c r="AF167">
        <v>18</v>
      </c>
      <c r="AG167">
        <v>36.799999999999997</v>
      </c>
      <c r="AH167">
        <v>4.8</v>
      </c>
    </row>
    <row r="168" spans="1:34" x14ac:dyDescent="0.25">
      <c r="A168" s="1">
        <v>166</v>
      </c>
      <c r="B168" s="1">
        <v>65</v>
      </c>
      <c r="C168" s="1" t="s">
        <v>32</v>
      </c>
      <c r="D168" s="1" t="s">
        <v>42</v>
      </c>
      <c r="E168" s="1" t="s">
        <v>37</v>
      </c>
      <c r="F168" s="1" t="s">
        <v>43</v>
      </c>
      <c r="G168" s="1">
        <v>2013</v>
      </c>
      <c r="H168" s="1">
        <v>1</v>
      </c>
      <c r="I168" s="1">
        <v>6</v>
      </c>
      <c r="J168" s="1" t="s">
        <v>14</v>
      </c>
      <c r="K168" s="1" t="s">
        <v>15</v>
      </c>
      <c r="L168" s="1" t="s">
        <v>16</v>
      </c>
      <c r="M168" s="1" t="s">
        <v>29</v>
      </c>
      <c r="N168" s="1" t="s">
        <v>33</v>
      </c>
      <c r="O168" s="1" t="s">
        <v>29</v>
      </c>
      <c r="P168" s="1" t="s">
        <v>29</v>
      </c>
      <c r="Q168" s="1" t="s">
        <v>19</v>
      </c>
      <c r="R168" s="1" t="s">
        <v>29</v>
      </c>
      <c r="S168" s="1" t="s">
        <v>29</v>
      </c>
      <c r="T168" s="1" t="s">
        <v>19</v>
      </c>
      <c r="U168" s="1" t="s">
        <v>29</v>
      </c>
      <c r="V168" s="1" t="s">
        <v>19</v>
      </c>
      <c r="W168" s="1" t="s">
        <v>29</v>
      </c>
      <c r="X168" s="1">
        <v>1.59</v>
      </c>
      <c r="Y168" s="1">
        <v>74</v>
      </c>
      <c r="Z168" s="3">
        <f t="shared" si="4"/>
        <v>29.270994027135</v>
      </c>
      <c r="AA168" s="1">
        <v>117</v>
      </c>
      <c r="AB168" s="1">
        <v>103</v>
      </c>
      <c r="AC168" s="3">
        <f t="shared" si="5"/>
        <v>0.88034188034188032</v>
      </c>
      <c r="AD168" t="s">
        <v>241</v>
      </c>
      <c r="AE168">
        <v>122</v>
      </c>
      <c r="AF168">
        <v>20</v>
      </c>
      <c r="AG168">
        <v>37</v>
      </c>
    </row>
    <row r="169" spans="1:34" x14ac:dyDescent="0.25">
      <c r="A169" s="1">
        <v>167</v>
      </c>
      <c r="B169" s="1">
        <v>60</v>
      </c>
      <c r="C169" s="1" t="s">
        <v>11</v>
      </c>
      <c r="D169" s="1" t="s">
        <v>21</v>
      </c>
      <c r="E169" s="1" t="s">
        <v>22</v>
      </c>
      <c r="F169" s="1" t="s">
        <v>23</v>
      </c>
      <c r="G169" s="1">
        <v>2010</v>
      </c>
      <c r="H169" s="1">
        <v>4</v>
      </c>
      <c r="I169" s="1">
        <v>2</v>
      </c>
      <c r="J169" s="1" t="s">
        <v>14</v>
      </c>
      <c r="K169" s="1" t="s">
        <v>15</v>
      </c>
      <c r="L169" s="1" t="s">
        <v>16</v>
      </c>
      <c r="M169" s="1" t="s">
        <v>29</v>
      </c>
      <c r="N169" s="1" t="s">
        <v>33</v>
      </c>
      <c r="O169" s="1" t="s">
        <v>29</v>
      </c>
      <c r="P169" s="1" t="s">
        <v>29</v>
      </c>
      <c r="Q169" s="1" t="s">
        <v>14</v>
      </c>
      <c r="R169" s="1" t="s">
        <v>27</v>
      </c>
      <c r="S169" s="4" t="s">
        <v>61</v>
      </c>
      <c r="T169" s="1" t="s">
        <v>14</v>
      </c>
      <c r="U169" s="1" t="s">
        <v>53</v>
      </c>
      <c r="V169" s="1" t="s">
        <v>19</v>
      </c>
      <c r="W169" s="1" t="s">
        <v>29</v>
      </c>
      <c r="X169" s="1">
        <v>1.79</v>
      </c>
      <c r="Y169" s="1">
        <v>77</v>
      </c>
      <c r="Z169" s="3">
        <f t="shared" si="4"/>
        <v>24.031709372366656</v>
      </c>
      <c r="AA169" s="1">
        <v>98</v>
      </c>
      <c r="AB169" s="1">
        <v>103</v>
      </c>
      <c r="AC169" s="3">
        <f t="shared" si="5"/>
        <v>1.0510204081632653</v>
      </c>
      <c r="AD169" t="s">
        <v>214</v>
      </c>
      <c r="AE169">
        <v>96</v>
      </c>
      <c r="AF169">
        <v>12</v>
      </c>
      <c r="AG169">
        <v>35</v>
      </c>
      <c r="AH169">
        <v>10.7</v>
      </c>
    </row>
    <row r="170" spans="1:34" x14ac:dyDescent="0.25">
      <c r="A170" s="1">
        <v>168</v>
      </c>
      <c r="B170" s="1">
        <v>73</v>
      </c>
      <c r="C170" s="1" t="s">
        <v>32</v>
      </c>
      <c r="D170" s="1" t="s">
        <v>42</v>
      </c>
      <c r="E170" s="1" t="s">
        <v>37</v>
      </c>
      <c r="F170" s="1" t="s">
        <v>43</v>
      </c>
      <c r="G170" s="1">
        <v>2013</v>
      </c>
      <c r="H170" s="1">
        <v>1</v>
      </c>
      <c r="I170" s="1">
        <v>4</v>
      </c>
      <c r="J170" s="1" t="s">
        <v>14</v>
      </c>
      <c r="K170" s="1" t="s">
        <v>15</v>
      </c>
      <c r="L170" s="1" t="s">
        <v>16</v>
      </c>
      <c r="M170" s="1" t="s">
        <v>29</v>
      </c>
      <c r="N170" s="1" t="s">
        <v>33</v>
      </c>
      <c r="O170" s="1" t="s">
        <v>29</v>
      </c>
      <c r="P170" s="1" t="s">
        <v>29</v>
      </c>
      <c r="Q170" s="1" t="s">
        <v>19</v>
      </c>
      <c r="R170" s="1" t="s">
        <v>29</v>
      </c>
      <c r="S170" s="1" t="s">
        <v>29</v>
      </c>
      <c r="T170" s="1" t="s">
        <v>19</v>
      </c>
      <c r="U170" s="1" t="s">
        <v>29</v>
      </c>
      <c r="V170" s="1" t="s">
        <v>19</v>
      </c>
      <c r="W170" s="1" t="s">
        <v>29</v>
      </c>
      <c r="X170" s="1">
        <v>1.4</v>
      </c>
      <c r="Y170" s="1">
        <v>56</v>
      </c>
      <c r="Z170" s="3">
        <f t="shared" si="4"/>
        <v>28.571428571428577</v>
      </c>
      <c r="AA170" s="1">
        <v>106</v>
      </c>
      <c r="AB170" s="1">
        <v>94</v>
      </c>
      <c r="AC170" s="3">
        <f t="shared" si="5"/>
        <v>0.8867924528301887</v>
      </c>
      <c r="AD170" t="s">
        <v>242</v>
      </c>
      <c r="AE170">
        <v>100</v>
      </c>
      <c r="AF170">
        <v>18</v>
      </c>
      <c r="AG170">
        <v>36.4</v>
      </c>
      <c r="AH170">
        <v>14.7</v>
      </c>
    </row>
    <row r="171" spans="1:34" x14ac:dyDescent="0.25">
      <c r="A171" s="1">
        <v>169</v>
      </c>
      <c r="B171" s="1">
        <v>62</v>
      </c>
      <c r="C171" s="1" t="s">
        <v>11</v>
      </c>
      <c r="D171" s="1" t="s">
        <v>21</v>
      </c>
      <c r="E171" s="1" t="s">
        <v>36</v>
      </c>
      <c r="F171" s="1" t="s">
        <v>23</v>
      </c>
      <c r="G171" s="1">
        <v>2009</v>
      </c>
      <c r="H171" s="1">
        <v>5</v>
      </c>
      <c r="I171" s="1">
        <v>4</v>
      </c>
      <c r="J171" s="1" t="s">
        <v>14</v>
      </c>
      <c r="K171" s="1" t="s">
        <v>15</v>
      </c>
      <c r="L171" s="1" t="s">
        <v>16</v>
      </c>
      <c r="M171" s="1" t="s">
        <v>12</v>
      </c>
      <c r="N171" s="1" t="s">
        <v>25</v>
      </c>
      <c r="O171" s="1" t="s">
        <v>26</v>
      </c>
      <c r="P171" s="1" t="s">
        <v>40</v>
      </c>
      <c r="Q171" s="1" t="s">
        <v>19</v>
      </c>
      <c r="R171" s="1" t="s">
        <v>29</v>
      </c>
      <c r="S171" s="1" t="s">
        <v>29</v>
      </c>
      <c r="T171" s="1" t="s">
        <v>19</v>
      </c>
      <c r="U171" s="1" t="s">
        <v>29</v>
      </c>
      <c r="V171" s="1" t="s">
        <v>19</v>
      </c>
      <c r="W171" s="1" t="s">
        <v>29</v>
      </c>
      <c r="X171" s="1">
        <v>1.77</v>
      </c>
      <c r="Y171" s="1">
        <v>70</v>
      </c>
      <c r="Z171" s="3">
        <f t="shared" si="4"/>
        <v>22.343515592581952</v>
      </c>
      <c r="AA171" s="1">
        <v>112</v>
      </c>
      <c r="AB171" s="1">
        <v>108</v>
      </c>
      <c r="AC171" s="3">
        <f t="shared" si="5"/>
        <v>0.9642857142857143</v>
      </c>
      <c r="AD171" t="s">
        <v>243</v>
      </c>
      <c r="AE171">
        <v>69</v>
      </c>
      <c r="AF171">
        <v>14</v>
      </c>
      <c r="AG171">
        <v>36.9</v>
      </c>
      <c r="AH171">
        <v>9.1999999999999993</v>
      </c>
    </row>
    <row r="172" spans="1:34" x14ac:dyDescent="0.25">
      <c r="A172" s="1">
        <v>170</v>
      </c>
      <c r="B172" s="1">
        <v>42</v>
      </c>
      <c r="C172" s="1" t="s">
        <v>11</v>
      </c>
      <c r="D172" s="1" t="s">
        <v>35</v>
      </c>
      <c r="E172" s="1" t="s">
        <v>36</v>
      </c>
      <c r="F172" s="1" t="s">
        <v>38</v>
      </c>
      <c r="G172" s="1">
        <v>2014</v>
      </c>
      <c r="H172" s="1">
        <v>1</v>
      </c>
      <c r="I172" s="1">
        <v>4</v>
      </c>
      <c r="J172" s="1" t="s">
        <v>19</v>
      </c>
      <c r="K172" s="1" t="s">
        <v>29</v>
      </c>
      <c r="L172" s="1" t="s">
        <v>18</v>
      </c>
      <c r="M172" s="1" t="s">
        <v>29</v>
      </c>
      <c r="N172" s="1" t="s">
        <v>25</v>
      </c>
      <c r="O172" s="1" t="s">
        <v>57</v>
      </c>
      <c r="P172" s="1" t="s">
        <v>28</v>
      </c>
      <c r="Q172" s="1" t="s">
        <v>14</v>
      </c>
      <c r="R172" s="1" t="s">
        <v>30</v>
      </c>
      <c r="S172" s="1" t="s">
        <v>30</v>
      </c>
      <c r="T172" s="1" t="s">
        <v>14</v>
      </c>
      <c r="U172" s="1" t="s">
        <v>131</v>
      </c>
      <c r="V172" s="1" t="s">
        <v>19</v>
      </c>
      <c r="W172" s="1" t="s">
        <v>29</v>
      </c>
      <c r="X172" s="1">
        <v>1.68</v>
      </c>
      <c r="Y172" s="1">
        <v>67</v>
      </c>
      <c r="Z172" s="3">
        <f t="shared" si="4"/>
        <v>23.738662131519277</v>
      </c>
      <c r="AA172" s="1">
        <v>79</v>
      </c>
      <c r="AB172" s="1">
        <v>94</v>
      </c>
      <c r="AC172" s="3">
        <f t="shared" si="5"/>
        <v>1.1898734177215189</v>
      </c>
      <c r="AD172" t="s">
        <v>244</v>
      </c>
      <c r="AE172">
        <v>86</v>
      </c>
      <c r="AF172">
        <v>14</v>
      </c>
      <c r="AG172">
        <v>37.200000000000003</v>
      </c>
      <c r="AH172">
        <v>3</v>
      </c>
    </row>
    <row r="173" spans="1:34" x14ac:dyDescent="0.25">
      <c r="A173" s="1">
        <v>171</v>
      </c>
      <c r="B173" s="1">
        <v>70</v>
      </c>
      <c r="C173" s="1" t="s">
        <v>32</v>
      </c>
      <c r="D173" s="1" t="s">
        <v>42</v>
      </c>
      <c r="E173" s="1" t="s">
        <v>37</v>
      </c>
      <c r="F173" s="1" t="s">
        <v>38</v>
      </c>
      <c r="G173" s="1">
        <v>2009</v>
      </c>
      <c r="H173" s="1">
        <v>5</v>
      </c>
      <c r="I173" s="1">
        <v>6</v>
      </c>
      <c r="J173" s="1" t="s">
        <v>14</v>
      </c>
      <c r="K173" s="1" t="s">
        <v>15</v>
      </c>
      <c r="L173" s="1" t="s">
        <v>16</v>
      </c>
      <c r="M173" s="1" t="s">
        <v>29</v>
      </c>
      <c r="N173" s="1" t="s">
        <v>33</v>
      </c>
      <c r="O173" s="1" t="s">
        <v>29</v>
      </c>
      <c r="P173" s="1" t="s">
        <v>29</v>
      </c>
      <c r="Q173" s="1" t="s">
        <v>19</v>
      </c>
      <c r="R173" s="1" t="s">
        <v>29</v>
      </c>
      <c r="S173" s="1" t="s">
        <v>29</v>
      </c>
      <c r="T173" s="1" t="s">
        <v>14</v>
      </c>
      <c r="U173" s="1" t="s">
        <v>75</v>
      </c>
      <c r="V173" s="1" t="s">
        <v>14</v>
      </c>
      <c r="W173" s="1" t="s">
        <v>75</v>
      </c>
      <c r="X173" s="1">
        <v>1.5</v>
      </c>
      <c r="Y173" s="1">
        <v>43</v>
      </c>
      <c r="Z173" s="3">
        <f t="shared" si="4"/>
        <v>19.111111111111111</v>
      </c>
      <c r="AA173" s="1">
        <v>84</v>
      </c>
      <c r="AB173" s="1">
        <v>77</v>
      </c>
      <c r="AC173" s="3">
        <f t="shared" si="5"/>
        <v>0.91666666666666663</v>
      </c>
      <c r="AD173" t="s">
        <v>220</v>
      </c>
      <c r="AE173">
        <v>80</v>
      </c>
      <c r="AF173">
        <v>20</v>
      </c>
      <c r="AG173">
        <v>36.5</v>
      </c>
      <c r="AH173">
        <v>13.7</v>
      </c>
    </row>
    <row r="174" spans="1:34" x14ac:dyDescent="0.25">
      <c r="A174" s="1">
        <v>172</v>
      </c>
      <c r="B174" s="1">
        <v>94</v>
      </c>
      <c r="C174" s="1" t="s">
        <v>32</v>
      </c>
      <c r="D174" s="1" t="s">
        <v>21</v>
      </c>
      <c r="E174" s="1" t="s">
        <v>37</v>
      </c>
      <c r="F174" s="1" t="s">
        <v>38</v>
      </c>
      <c r="G174" s="1">
        <v>2013</v>
      </c>
      <c r="H174" s="1">
        <v>1</v>
      </c>
      <c r="I174" s="1">
        <v>4</v>
      </c>
      <c r="J174" s="1" t="s">
        <v>14</v>
      </c>
      <c r="K174" s="1" t="s">
        <v>15</v>
      </c>
      <c r="L174" s="1" t="s">
        <v>16</v>
      </c>
      <c r="M174" s="1" t="s">
        <v>17</v>
      </c>
      <c r="N174" s="1" t="s">
        <v>33</v>
      </c>
      <c r="O174" s="1" t="s">
        <v>29</v>
      </c>
      <c r="P174" s="1" t="s">
        <v>29</v>
      </c>
      <c r="Q174" s="1" t="s">
        <v>19</v>
      </c>
      <c r="R174" s="1" t="s">
        <v>29</v>
      </c>
      <c r="S174" s="1" t="s">
        <v>29</v>
      </c>
      <c r="T174" s="1" t="s">
        <v>19</v>
      </c>
      <c r="U174" s="1" t="s">
        <v>29</v>
      </c>
      <c r="V174" s="1" t="s">
        <v>19</v>
      </c>
      <c r="W174" s="1" t="s">
        <v>29</v>
      </c>
      <c r="X174" s="1">
        <v>1.61</v>
      </c>
      <c r="Y174" s="1">
        <v>60</v>
      </c>
      <c r="Z174" s="3">
        <f t="shared" si="4"/>
        <v>23.147255121330193</v>
      </c>
      <c r="AA174" s="1">
        <v>96</v>
      </c>
      <c r="AB174" s="1">
        <v>86</v>
      </c>
      <c r="AC174" s="3">
        <f t="shared" si="5"/>
        <v>0.89583333333333337</v>
      </c>
      <c r="AD174" t="s">
        <v>245</v>
      </c>
      <c r="AE174">
        <v>100</v>
      </c>
      <c r="AF174">
        <v>16</v>
      </c>
      <c r="AG174">
        <v>37</v>
      </c>
      <c r="AH174">
        <v>7.2</v>
      </c>
    </row>
    <row r="175" spans="1:34" x14ac:dyDescent="0.25">
      <c r="A175" s="1">
        <v>173</v>
      </c>
      <c r="B175" s="1">
        <v>57</v>
      </c>
      <c r="C175" s="1" t="s">
        <v>32</v>
      </c>
      <c r="D175" s="1" t="s">
        <v>42</v>
      </c>
      <c r="E175" s="1" t="s">
        <v>36</v>
      </c>
      <c r="F175" s="1" t="s">
        <v>50</v>
      </c>
      <c r="G175" s="1">
        <v>2011</v>
      </c>
      <c r="H175" s="1">
        <v>3</v>
      </c>
      <c r="I175" s="1">
        <v>6</v>
      </c>
      <c r="J175" s="1" t="s">
        <v>14</v>
      </c>
      <c r="K175" s="1" t="s">
        <v>15</v>
      </c>
      <c r="L175" s="1" t="s">
        <v>16</v>
      </c>
      <c r="M175" s="1" t="s">
        <v>29</v>
      </c>
      <c r="N175" s="1" t="s">
        <v>33</v>
      </c>
      <c r="O175" s="1" t="s">
        <v>29</v>
      </c>
      <c r="P175" s="1" t="s">
        <v>29</v>
      </c>
      <c r="Q175" s="1" t="s">
        <v>19</v>
      </c>
      <c r="R175" s="1" t="s">
        <v>29</v>
      </c>
      <c r="S175" s="1" t="s">
        <v>29</v>
      </c>
      <c r="T175" s="1" t="s">
        <v>19</v>
      </c>
      <c r="U175" s="1" t="s">
        <v>29</v>
      </c>
      <c r="V175" s="1" t="s">
        <v>19</v>
      </c>
      <c r="W175" s="1" t="s">
        <v>29</v>
      </c>
      <c r="X175" s="1">
        <v>1.58</v>
      </c>
      <c r="Y175" s="1">
        <v>66</v>
      </c>
      <c r="Z175" s="3">
        <f t="shared" si="4"/>
        <v>26.438070821983651</v>
      </c>
      <c r="AA175" s="1">
        <v>98</v>
      </c>
      <c r="AB175" s="1">
        <v>84</v>
      </c>
      <c r="AC175" s="3">
        <f t="shared" si="5"/>
        <v>0.8571428571428571</v>
      </c>
      <c r="AD175" t="s">
        <v>168</v>
      </c>
      <c r="AE175">
        <v>98</v>
      </c>
      <c r="AF175">
        <v>16</v>
      </c>
      <c r="AG175">
        <v>37.200000000000003</v>
      </c>
      <c r="AH175">
        <v>5.2</v>
      </c>
    </row>
    <row r="176" spans="1:34" x14ac:dyDescent="0.25">
      <c r="A176" s="1">
        <v>174</v>
      </c>
      <c r="B176" s="1">
        <v>57</v>
      </c>
      <c r="C176" s="1" t="s">
        <v>32</v>
      </c>
      <c r="D176" s="1" t="s">
        <v>21</v>
      </c>
      <c r="E176" s="1" t="s">
        <v>36</v>
      </c>
      <c r="F176" s="1" t="s">
        <v>38</v>
      </c>
      <c r="G176" s="1">
        <v>2010</v>
      </c>
      <c r="H176" s="1">
        <v>4</v>
      </c>
      <c r="I176" s="1">
        <v>4</v>
      </c>
      <c r="J176" s="1" t="s">
        <v>19</v>
      </c>
      <c r="K176" s="1" t="s">
        <v>29</v>
      </c>
      <c r="L176" s="1" t="s">
        <v>16</v>
      </c>
      <c r="M176" s="1" t="s">
        <v>29</v>
      </c>
      <c r="N176" s="1" t="s">
        <v>33</v>
      </c>
      <c r="O176" s="1" t="s">
        <v>29</v>
      </c>
      <c r="P176" s="1" t="s">
        <v>29</v>
      </c>
      <c r="Q176" s="1" t="s">
        <v>19</v>
      </c>
      <c r="R176" s="1" t="s">
        <v>29</v>
      </c>
      <c r="S176" s="1" t="s">
        <v>29</v>
      </c>
      <c r="T176" s="1" t="s">
        <v>14</v>
      </c>
      <c r="U176" s="1" t="s">
        <v>79</v>
      </c>
      <c r="V176" s="1" t="s">
        <v>14</v>
      </c>
      <c r="W176" s="1" t="s">
        <v>79</v>
      </c>
      <c r="X176" s="1">
        <v>1.5</v>
      </c>
      <c r="Y176" s="1">
        <v>45</v>
      </c>
      <c r="Z176" s="3">
        <f t="shared" si="4"/>
        <v>20</v>
      </c>
      <c r="AA176" s="1">
        <v>88</v>
      </c>
      <c r="AB176" s="1">
        <v>69</v>
      </c>
      <c r="AC176" s="3">
        <f t="shared" si="5"/>
        <v>0.78409090909090906</v>
      </c>
      <c r="AD176" t="s">
        <v>246</v>
      </c>
      <c r="AE176">
        <v>62</v>
      </c>
      <c r="AF176">
        <v>12</v>
      </c>
      <c r="AG176">
        <v>36.200000000000003</v>
      </c>
      <c r="AH176">
        <v>12.2</v>
      </c>
    </row>
    <row r="177" spans="1:34" x14ac:dyDescent="0.25">
      <c r="A177" s="1">
        <v>175</v>
      </c>
      <c r="B177" s="1">
        <v>65</v>
      </c>
      <c r="C177" s="1" t="s">
        <v>32</v>
      </c>
      <c r="D177" s="1" t="s">
        <v>21</v>
      </c>
      <c r="E177" s="1" t="s">
        <v>37</v>
      </c>
      <c r="F177" s="1" t="s">
        <v>38</v>
      </c>
      <c r="G177" s="1">
        <v>2003</v>
      </c>
      <c r="H177" s="1">
        <v>11</v>
      </c>
      <c r="I177" s="1">
        <v>4</v>
      </c>
      <c r="J177" s="1" t="s">
        <v>14</v>
      </c>
      <c r="K177" s="1" t="s">
        <v>15</v>
      </c>
      <c r="L177" s="63" t="s">
        <v>16</v>
      </c>
      <c r="M177" s="62" t="s">
        <v>29</v>
      </c>
      <c r="N177" s="1" t="s">
        <v>33</v>
      </c>
      <c r="O177" s="1" t="s">
        <v>29</v>
      </c>
      <c r="P177" s="1" t="s">
        <v>29</v>
      </c>
      <c r="Q177" s="1" t="s">
        <v>19</v>
      </c>
      <c r="R177" s="1" t="s">
        <v>29</v>
      </c>
      <c r="S177" s="1" t="s">
        <v>29</v>
      </c>
      <c r="T177" s="1" t="s">
        <v>14</v>
      </c>
      <c r="U177" s="1" t="s">
        <v>132</v>
      </c>
      <c r="V177" s="1" t="s">
        <v>19</v>
      </c>
      <c r="W177" s="1" t="s">
        <v>29</v>
      </c>
      <c r="X177" s="1">
        <v>1.58</v>
      </c>
      <c r="Y177" s="1">
        <v>73</v>
      </c>
      <c r="Z177" s="3">
        <f t="shared" si="4"/>
        <v>29.242108636436463</v>
      </c>
      <c r="AA177" s="1">
        <v>115</v>
      </c>
      <c r="AB177" s="1">
        <v>100</v>
      </c>
      <c r="AC177" s="3">
        <f t="shared" si="5"/>
        <v>0.86956521739130432</v>
      </c>
      <c r="AD177" t="s">
        <v>247</v>
      </c>
      <c r="AE177">
        <v>80</v>
      </c>
      <c r="AF177">
        <v>18</v>
      </c>
      <c r="AG177">
        <v>36</v>
      </c>
      <c r="AH177">
        <v>8.9</v>
      </c>
    </row>
    <row r="178" spans="1:34" x14ac:dyDescent="0.25">
      <c r="A178" s="1">
        <v>176</v>
      </c>
      <c r="B178" s="1">
        <v>65</v>
      </c>
      <c r="C178" s="1" t="s">
        <v>11</v>
      </c>
      <c r="D178" s="1" t="s">
        <v>21</v>
      </c>
      <c r="E178" s="1" t="s">
        <v>22</v>
      </c>
      <c r="F178" s="1" t="s">
        <v>43</v>
      </c>
      <c r="G178" s="1">
        <v>2013</v>
      </c>
      <c r="H178" s="1">
        <v>1</v>
      </c>
      <c r="I178" s="1">
        <v>4</v>
      </c>
      <c r="J178" s="1" t="s">
        <v>14</v>
      </c>
      <c r="K178" s="1" t="s">
        <v>15</v>
      </c>
      <c r="L178" s="1" t="s">
        <v>16</v>
      </c>
      <c r="M178" s="1" t="s">
        <v>17</v>
      </c>
      <c r="N178" s="1" t="s">
        <v>25</v>
      </c>
      <c r="O178" s="1" t="s">
        <v>26</v>
      </c>
      <c r="P178" s="1" t="s">
        <v>40</v>
      </c>
      <c r="Q178" s="1" t="s">
        <v>14</v>
      </c>
      <c r="R178" s="1" t="s">
        <v>30</v>
      </c>
      <c r="S178" s="1" t="s">
        <v>30</v>
      </c>
      <c r="T178" s="1" t="s">
        <v>14</v>
      </c>
      <c r="U178" s="1" t="s">
        <v>133</v>
      </c>
      <c r="V178" s="1" t="s">
        <v>14</v>
      </c>
      <c r="W178" s="1" t="s">
        <v>133</v>
      </c>
      <c r="X178" s="1">
        <v>1.71</v>
      </c>
      <c r="Y178" s="1">
        <v>65</v>
      </c>
      <c r="Z178" s="3">
        <f t="shared" si="4"/>
        <v>22.229061933586404</v>
      </c>
      <c r="AA178" s="1">
        <v>96</v>
      </c>
      <c r="AB178" s="1">
        <v>90</v>
      </c>
      <c r="AC178" s="3">
        <f t="shared" si="5"/>
        <v>0.9375</v>
      </c>
      <c r="AD178" t="s">
        <v>248</v>
      </c>
      <c r="AE178">
        <v>80</v>
      </c>
      <c r="AF178">
        <v>14</v>
      </c>
      <c r="AG178">
        <v>37</v>
      </c>
      <c r="AH178">
        <v>8.5</v>
      </c>
    </row>
    <row r="179" spans="1:34" x14ac:dyDescent="0.25">
      <c r="A179" s="1">
        <v>177</v>
      </c>
      <c r="B179" s="1">
        <v>38</v>
      </c>
      <c r="C179" s="1" t="s">
        <v>11</v>
      </c>
      <c r="D179" s="1" t="s">
        <v>21</v>
      </c>
      <c r="E179" s="1" t="s">
        <v>36</v>
      </c>
      <c r="F179" s="1" t="s">
        <v>50</v>
      </c>
      <c r="G179" s="1">
        <v>2008</v>
      </c>
      <c r="H179" s="1">
        <v>6</v>
      </c>
      <c r="I179" s="1">
        <v>4</v>
      </c>
      <c r="J179" s="1" t="s">
        <v>14</v>
      </c>
      <c r="K179" s="1" t="s">
        <v>15</v>
      </c>
      <c r="L179" s="1" t="s">
        <v>129</v>
      </c>
      <c r="M179" s="1" t="s">
        <v>12</v>
      </c>
      <c r="N179" s="1" t="s">
        <v>33</v>
      </c>
      <c r="O179" s="1" t="s">
        <v>29</v>
      </c>
      <c r="P179" s="1" t="s">
        <v>29</v>
      </c>
      <c r="Q179" s="1" t="s">
        <v>14</v>
      </c>
      <c r="R179" s="4" t="s">
        <v>61</v>
      </c>
      <c r="S179" s="4" t="s">
        <v>61</v>
      </c>
      <c r="T179" s="1" t="s">
        <v>14</v>
      </c>
      <c r="U179" s="1" t="s">
        <v>79</v>
      </c>
      <c r="V179" s="1" t="s">
        <v>14</v>
      </c>
      <c r="W179" s="1" t="s">
        <v>79</v>
      </c>
      <c r="X179" s="1">
        <v>1.76</v>
      </c>
      <c r="Y179" s="1">
        <v>84</v>
      </c>
      <c r="Z179" s="3">
        <f t="shared" si="4"/>
        <v>27.117768595041323</v>
      </c>
      <c r="AA179" s="1">
        <v>110</v>
      </c>
      <c r="AB179" s="1">
        <v>108</v>
      </c>
      <c r="AC179" s="3">
        <f t="shared" si="5"/>
        <v>0.98181818181818181</v>
      </c>
      <c r="AD179" t="s">
        <v>188</v>
      </c>
      <c r="AE179">
        <v>98</v>
      </c>
      <c r="AF179">
        <v>14</v>
      </c>
      <c r="AG179">
        <v>37.200000000000003</v>
      </c>
      <c r="AH179">
        <v>10.199999999999999</v>
      </c>
    </row>
    <row r="180" spans="1:34" x14ac:dyDescent="0.25">
      <c r="A180" s="1">
        <v>178</v>
      </c>
      <c r="B180" s="1">
        <v>60</v>
      </c>
      <c r="C180" s="1" t="s">
        <v>32</v>
      </c>
      <c r="D180" s="1" t="s">
        <v>21</v>
      </c>
      <c r="E180" s="1" t="s">
        <v>37</v>
      </c>
      <c r="F180" s="1" t="s">
        <v>38</v>
      </c>
      <c r="G180" s="1">
        <v>2008</v>
      </c>
      <c r="H180" s="1">
        <v>6</v>
      </c>
      <c r="I180" s="1">
        <v>4</v>
      </c>
      <c r="J180" s="1" t="s">
        <v>14</v>
      </c>
      <c r="K180" s="1" t="s">
        <v>134</v>
      </c>
      <c r="L180" s="1" t="s">
        <v>16</v>
      </c>
      <c r="M180" s="1" t="s">
        <v>29</v>
      </c>
      <c r="N180" s="1" t="s">
        <v>33</v>
      </c>
      <c r="O180" s="1" t="s">
        <v>29</v>
      </c>
      <c r="P180" s="1" t="s">
        <v>29</v>
      </c>
      <c r="Q180" s="1" t="s">
        <v>19</v>
      </c>
      <c r="R180" s="1" t="s">
        <v>29</v>
      </c>
      <c r="S180" s="1" t="s">
        <v>29</v>
      </c>
      <c r="T180" s="1" t="s">
        <v>14</v>
      </c>
      <c r="U180" s="1" t="s">
        <v>135</v>
      </c>
      <c r="V180" s="1" t="s">
        <v>14</v>
      </c>
      <c r="W180" s="1" t="s">
        <v>122</v>
      </c>
      <c r="X180" s="1">
        <v>1.54</v>
      </c>
      <c r="Y180" s="1">
        <v>55</v>
      </c>
      <c r="Z180" s="3">
        <f t="shared" si="4"/>
        <v>23.19109461966605</v>
      </c>
      <c r="AA180" s="1">
        <v>96</v>
      </c>
      <c r="AB180" s="1">
        <v>90</v>
      </c>
      <c r="AC180" s="3">
        <f t="shared" si="5"/>
        <v>0.9375</v>
      </c>
      <c r="AD180" t="s">
        <v>249</v>
      </c>
      <c r="AE180">
        <v>110</v>
      </c>
      <c r="AF180">
        <v>12</v>
      </c>
      <c r="AG180">
        <v>37</v>
      </c>
      <c r="AH180">
        <v>4.7</v>
      </c>
    </row>
    <row r="181" spans="1:34" x14ac:dyDescent="0.25">
      <c r="A181" s="1">
        <v>179</v>
      </c>
      <c r="B181" s="1">
        <v>67</v>
      </c>
      <c r="C181" s="1" t="s">
        <v>32</v>
      </c>
      <c r="D181" s="1" t="s">
        <v>21</v>
      </c>
      <c r="E181" s="1" t="s">
        <v>22</v>
      </c>
      <c r="F181" s="1" t="s">
        <v>43</v>
      </c>
      <c r="G181" s="1">
        <v>2008</v>
      </c>
      <c r="H181" s="1">
        <v>6</v>
      </c>
      <c r="I181" s="1">
        <v>3</v>
      </c>
      <c r="J181" s="1" t="s">
        <v>19</v>
      </c>
      <c r="K181" s="1" t="s">
        <v>29</v>
      </c>
      <c r="L181" s="1" t="s">
        <v>16</v>
      </c>
      <c r="M181" s="1" t="s">
        <v>29</v>
      </c>
      <c r="N181" s="1" t="s">
        <v>33</v>
      </c>
      <c r="O181" s="1" t="s">
        <v>29</v>
      </c>
      <c r="P181" s="1" t="s">
        <v>29</v>
      </c>
      <c r="Q181" s="1" t="s">
        <v>19</v>
      </c>
      <c r="R181" s="1" t="s">
        <v>29</v>
      </c>
      <c r="S181" s="1" t="s">
        <v>29</v>
      </c>
      <c r="T181" s="1" t="s">
        <v>14</v>
      </c>
      <c r="U181" s="1" t="s">
        <v>75</v>
      </c>
      <c r="V181" s="1" t="s">
        <v>19</v>
      </c>
      <c r="W181" s="1" t="s">
        <v>29</v>
      </c>
      <c r="X181" s="1">
        <v>1.6</v>
      </c>
      <c r="Y181" s="1">
        <v>69</v>
      </c>
      <c r="Z181" s="3">
        <f t="shared" si="4"/>
        <v>26.953124999999996</v>
      </c>
      <c r="AA181" s="1">
        <v>116</v>
      </c>
      <c r="AB181" s="1">
        <v>89</v>
      </c>
      <c r="AC181" s="3">
        <f t="shared" si="5"/>
        <v>0.76724137931034486</v>
      </c>
      <c r="AD181" t="s">
        <v>190</v>
      </c>
      <c r="AE181">
        <v>108</v>
      </c>
      <c r="AF181">
        <v>20</v>
      </c>
      <c r="AG181">
        <v>37</v>
      </c>
      <c r="AH181">
        <v>6.1</v>
      </c>
    </row>
    <row r="182" spans="1:34" x14ac:dyDescent="0.25">
      <c r="A182" s="1">
        <v>180</v>
      </c>
      <c r="B182" s="1">
        <v>50</v>
      </c>
      <c r="C182" s="1" t="s">
        <v>32</v>
      </c>
      <c r="D182" s="1" t="s">
        <v>21</v>
      </c>
      <c r="E182" s="1" t="s">
        <v>22</v>
      </c>
      <c r="F182" s="1" t="s">
        <v>38</v>
      </c>
      <c r="G182" s="1">
        <v>2013</v>
      </c>
      <c r="H182" s="1">
        <v>1</v>
      </c>
      <c r="I182" s="1">
        <v>4</v>
      </c>
      <c r="J182" s="1" t="s">
        <v>14</v>
      </c>
      <c r="K182" s="1" t="s">
        <v>15</v>
      </c>
      <c r="L182" s="1" t="s">
        <v>18</v>
      </c>
      <c r="M182" s="1" t="s">
        <v>29</v>
      </c>
      <c r="N182" s="1" t="s">
        <v>33</v>
      </c>
      <c r="O182" s="1" t="s">
        <v>29</v>
      </c>
      <c r="P182" s="1" t="s">
        <v>29</v>
      </c>
      <c r="Q182" s="1" t="s">
        <v>19</v>
      </c>
      <c r="R182" s="1" t="s">
        <v>29</v>
      </c>
      <c r="S182" s="1" t="s">
        <v>29</v>
      </c>
      <c r="T182" s="1" t="s">
        <v>14</v>
      </c>
      <c r="U182" s="1" t="s">
        <v>59</v>
      </c>
      <c r="V182" s="1" t="s">
        <v>19</v>
      </c>
      <c r="W182" s="1" t="s">
        <v>29</v>
      </c>
      <c r="X182" s="1">
        <v>1.78</v>
      </c>
      <c r="Y182" s="1">
        <v>98</v>
      </c>
      <c r="Z182" s="3">
        <f t="shared" si="4"/>
        <v>30.930438076000502</v>
      </c>
      <c r="AA182" s="1">
        <v>123</v>
      </c>
      <c r="AB182" s="1">
        <v>120</v>
      </c>
      <c r="AC182" s="3">
        <f t="shared" si="5"/>
        <v>0.97560975609756095</v>
      </c>
      <c r="AD182" t="s">
        <v>250</v>
      </c>
      <c r="AE182">
        <v>100</v>
      </c>
      <c r="AF182">
        <v>14</v>
      </c>
      <c r="AG182">
        <v>36.799999999999997</v>
      </c>
      <c r="AH182">
        <v>10.3</v>
      </c>
    </row>
    <row r="183" spans="1:34" x14ac:dyDescent="0.25">
      <c r="A183" s="1">
        <v>181</v>
      </c>
      <c r="B183" s="1">
        <v>56</v>
      </c>
      <c r="C183" s="1" t="s">
        <v>11</v>
      </c>
      <c r="D183" s="1" t="s">
        <v>21</v>
      </c>
      <c r="E183" s="1" t="s">
        <v>22</v>
      </c>
      <c r="F183" s="1" t="s">
        <v>38</v>
      </c>
      <c r="G183" s="1">
        <v>2002</v>
      </c>
      <c r="H183" s="1">
        <v>12</v>
      </c>
      <c r="I183" s="1">
        <v>4</v>
      </c>
      <c r="J183" s="1" t="s">
        <v>19</v>
      </c>
      <c r="K183" s="1" t="s">
        <v>29</v>
      </c>
      <c r="L183" s="1" t="s">
        <v>129</v>
      </c>
      <c r="M183" s="1" t="s">
        <v>29</v>
      </c>
      <c r="N183" s="1" t="s">
        <v>25</v>
      </c>
      <c r="O183" s="1" t="s">
        <v>26</v>
      </c>
      <c r="P183" s="1" t="s">
        <v>40</v>
      </c>
      <c r="Q183" s="1" t="s">
        <v>14</v>
      </c>
      <c r="R183" s="1" t="s">
        <v>27</v>
      </c>
      <c r="S183" s="1" t="s">
        <v>27</v>
      </c>
      <c r="T183" s="1" t="s">
        <v>19</v>
      </c>
      <c r="U183" s="1" t="s">
        <v>29</v>
      </c>
      <c r="V183" s="1" t="s">
        <v>19</v>
      </c>
      <c r="W183" s="1" t="s">
        <v>29</v>
      </c>
      <c r="X183" s="1">
        <v>1.52</v>
      </c>
      <c r="Y183" s="1">
        <v>48</v>
      </c>
      <c r="Z183" s="3">
        <f t="shared" si="4"/>
        <v>20.775623268698062</v>
      </c>
      <c r="AA183" s="1">
        <v>89</v>
      </c>
      <c r="AB183" s="1">
        <v>96</v>
      </c>
      <c r="AC183" s="3">
        <f t="shared" si="5"/>
        <v>1.0786516853932584</v>
      </c>
      <c r="AD183" t="s">
        <v>251</v>
      </c>
      <c r="AE183">
        <v>68</v>
      </c>
      <c r="AF183">
        <v>12</v>
      </c>
      <c r="AG183">
        <v>37</v>
      </c>
      <c r="AH183">
        <v>5.6</v>
      </c>
    </row>
    <row r="184" spans="1:34" x14ac:dyDescent="0.25">
      <c r="A184" s="1">
        <v>182</v>
      </c>
      <c r="B184" s="1">
        <v>81</v>
      </c>
      <c r="C184" s="1" t="s">
        <v>32</v>
      </c>
      <c r="D184" s="1" t="s">
        <v>42</v>
      </c>
      <c r="E184" s="1" t="s">
        <v>22</v>
      </c>
      <c r="F184" s="1" t="s">
        <v>43</v>
      </c>
      <c r="G184" s="1">
        <v>2006</v>
      </c>
      <c r="H184" s="1">
        <v>8</v>
      </c>
      <c r="I184" s="1">
        <v>4</v>
      </c>
      <c r="J184" s="1" t="s">
        <v>14</v>
      </c>
      <c r="K184" s="1" t="s">
        <v>15</v>
      </c>
      <c r="L184" s="1" t="s">
        <v>16</v>
      </c>
      <c r="M184" s="1" t="s">
        <v>29</v>
      </c>
      <c r="N184" s="1" t="s">
        <v>33</v>
      </c>
      <c r="O184" s="1" t="s">
        <v>29</v>
      </c>
      <c r="P184" s="1" t="s">
        <v>29</v>
      </c>
      <c r="Q184" s="1" t="s">
        <v>19</v>
      </c>
      <c r="R184" s="1" t="s">
        <v>29</v>
      </c>
      <c r="S184" s="1" t="s">
        <v>29</v>
      </c>
      <c r="T184" s="1" t="s">
        <v>14</v>
      </c>
      <c r="U184" s="1" t="s">
        <v>75</v>
      </c>
      <c r="V184" s="1" t="s">
        <v>14</v>
      </c>
      <c r="W184" s="1" t="s">
        <v>75</v>
      </c>
      <c r="X184" s="1">
        <v>1.58</v>
      </c>
      <c r="Y184" s="1">
        <v>50</v>
      </c>
      <c r="Z184" s="3">
        <f t="shared" si="4"/>
        <v>20.028841531805796</v>
      </c>
      <c r="AA184" s="1">
        <v>90</v>
      </c>
      <c r="AB184" s="1">
        <v>84</v>
      </c>
      <c r="AC184" s="3">
        <f t="shared" si="5"/>
        <v>0.93333333333333335</v>
      </c>
      <c r="AD184" t="s">
        <v>165</v>
      </c>
      <c r="AE184">
        <v>86</v>
      </c>
      <c r="AF184">
        <v>14</v>
      </c>
      <c r="AG184">
        <v>37.200000000000003</v>
      </c>
      <c r="AH184">
        <v>22.5</v>
      </c>
    </row>
    <row r="185" spans="1:34" x14ac:dyDescent="0.25">
      <c r="A185" s="1">
        <v>183</v>
      </c>
      <c r="B185" s="1">
        <v>78</v>
      </c>
      <c r="C185" s="1" t="s">
        <v>32</v>
      </c>
      <c r="D185" s="1" t="s">
        <v>21</v>
      </c>
      <c r="E185" s="1" t="s">
        <v>22</v>
      </c>
      <c r="F185" s="1" t="s">
        <v>38</v>
      </c>
      <c r="G185" s="1">
        <v>2002</v>
      </c>
      <c r="H185" s="1">
        <v>12</v>
      </c>
      <c r="I185" s="1">
        <v>3</v>
      </c>
      <c r="J185" s="1" t="s">
        <v>14</v>
      </c>
      <c r="K185" s="1" t="s">
        <v>15</v>
      </c>
      <c r="L185" s="1" t="s">
        <v>16</v>
      </c>
      <c r="M185" s="1" t="s">
        <v>17</v>
      </c>
      <c r="N185" s="1" t="s">
        <v>33</v>
      </c>
      <c r="O185" s="1" t="s">
        <v>29</v>
      </c>
      <c r="P185" s="1" t="s">
        <v>29</v>
      </c>
      <c r="Q185" s="1" t="s">
        <v>19</v>
      </c>
      <c r="R185" s="1" t="s">
        <v>29</v>
      </c>
      <c r="S185" s="1" t="s">
        <v>29</v>
      </c>
      <c r="T185" s="1" t="s">
        <v>19</v>
      </c>
      <c r="U185" s="1" t="s">
        <v>29</v>
      </c>
      <c r="V185" s="1" t="s">
        <v>19</v>
      </c>
      <c r="W185" s="1" t="s">
        <v>29</v>
      </c>
      <c r="X185" s="1">
        <v>1.52</v>
      </c>
      <c r="Y185" s="1">
        <v>54</v>
      </c>
      <c r="Z185" s="3">
        <f t="shared" si="4"/>
        <v>23.372576177285318</v>
      </c>
      <c r="AA185" s="1">
        <v>104</v>
      </c>
      <c r="AB185" s="1">
        <v>87</v>
      </c>
      <c r="AC185" s="3">
        <f t="shared" si="5"/>
        <v>0.83653846153846156</v>
      </c>
      <c r="AD185" t="s">
        <v>252</v>
      </c>
      <c r="AE185">
        <v>116</v>
      </c>
      <c r="AF185">
        <v>16</v>
      </c>
      <c r="AG185">
        <v>37</v>
      </c>
      <c r="AH185">
        <v>18.5</v>
      </c>
    </row>
    <row r="186" spans="1:34" x14ac:dyDescent="0.25">
      <c r="A186" s="1">
        <v>184</v>
      </c>
      <c r="B186" s="1">
        <v>68</v>
      </c>
      <c r="C186" s="1" t="s">
        <v>32</v>
      </c>
      <c r="D186" s="1" t="s">
        <v>42</v>
      </c>
      <c r="E186" s="1" t="s">
        <v>22</v>
      </c>
      <c r="F186" s="1" t="s">
        <v>43</v>
      </c>
      <c r="G186" s="1">
        <v>2010</v>
      </c>
      <c r="H186" s="1">
        <v>4</v>
      </c>
      <c r="I186" s="1">
        <v>4</v>
      </c>
      <c r="J186" s="1" t="s">
        <v>14</v>
      </c>
      <c r="K186" s="1" t="s">
        <v>15</v>
      </c>
      <c r="L186" s="1" t="s">
        <v>16</v>
      </c>
      <c r="M186" s="1" t="s">
        <v>17</v>
      </c>
      <c r="N186" s="1" t="s">
        <v>33</v>
      </c>
      <c r="O186" s="1" t="s">
        <v>29</v>
      </c>
      <c r="P186" s="1" t="s">
        <v>29</v>
      </c>
      <c r="Q186" s="1" t="s">
        <v>19</v>
      </c>
      <c r="R186" s="1" t="s">
        <v>29</v>
      </c>
      <c r="S186" s="1" t="s">
        <v>29</v>
      </c>
      <c r="T186" s="1" t="s">
        <v>19</v>
      </c>
      <c r="U186" s="1" t="s">
        <v>29</v>
      </c>
      <c r="V186" s="1" t="s">
        <v>19</v>
      </c>
      <c r="W186" s="1" t="s">
        <v>29</v>
      </c>
      <c r="X186" s="1">
        <v>1.6</v>
      </c>
      <c r="Y186" s="1">
        <v>66</v>
      </c>
      <c r="Z186" s="3">
        <f t="shared" si="4"/>
        <v>25.781249999999996</v>
      </c>
      <c r="AA186" s="1">
        <v>110</v>
      </c>
      <c r="AB186" s="1">
        <v>93</v>
      </c>
      <c r="AC186" s="3">
        <f t="shared" si="5"/>
        <v>0.84545454545454546</v>
      </c>
      <c r="AD186" t="s">
        <v>168</v>
      </c>
      <c r="AE186">
        <v>96</v>
      </c>
      <c r="AF186">
        <v>14</v>
      </c>
      <c r="AG186">
        <v>36.799999999999997</v>
      </c>
      <c r="AH186">
        <v>12.8</v>
      </c>
    </row>
    <row r="187" spans="1:34" x14ac:dyDescent="0.25">
      <c r="A187" s="1">
        <v>185</v>
      </c>
      <c r="B187" s="1">
        <v>82</v>
      </c>
      <c r="C187" s="1" t="s">
        <v>11</v>
      </c>
      <c r="D187" s="1" t="s">
        <v>21</v>
      </c>
      <c r="E187" s="1" t="s">
        <v>36</v>
      </c>
      <c r="F187" s="1" t="s">
        <v>38</v>
      </c>
      <c r="G187" s="1">
        <v>2014</v>
      </c>
      <c r="H187" s="1">
        <v>1</v>
      </c>
      <c r="I187" s="1">
        <v>4</v>
      </c>
      <c r="J187" s="1" t="s">
        <v>19</v>
      </c>
      <c r="K187" s="1" t="s">
        <v>29</v>
      </c>
      <c r="L187" s="1" t="s">
        <v>16</v>
      </c>
      <c r="M187" s="1" t="s">
        <v>29</v>
      </c>
      <c r="N187" s="1" t="s">
        <v>25</v>
      </c>
      <c r="O187" s="1" t="s">
        <v>26</v>
      </c>
      <c r="P187" s="1" t="s">
        <v>40</v>
      </c>
      <c r="Q187" s="1" t="s">
        <v>14</v>
      </c>
      <c r="R187" s="1" t="s">
        <v>27</v>
      </c>
      <c r="S187" s="1" t="s">
        <v>27</v>
      </c>
      <c r="T187" s="1" t="s">
        <v>19</v>
      </c>
      <c r="U187" s="1" t="s">
        <v>29</v>
      </c>
      <c r="V187" s="1" t="s">
        <v>19</v>
      </c>
      <c r="W187" s="1" t="s">
        <v>29</v>
      </c>
      <c r="X187" s="1">
        <v>1.58</v>
      </c>
      <c r="Y187" s="1">
        <v>60</v>
      </c>
      <c r="Z187" s="3">
        <f t="shared" si="4"/>
        <v>24.034609838166958</v>
      </c>
      <c r="AA187" s="1">
        <v>90</v>
      </c>
      <c r="AB187" s="1">
        <v>94</v>
      </c>
      <c r="AC187" s="3">
        <f t="shared" si="5"/>
        <v>1.0444444444444445</v>
      </c>
      <c r="AD187" t="s">
        <v>253</v>
      </c>
      <c r="AE187">
        <v>100</v>
      </c>
      <c r="AF187">
        <v>16</v>
      </c>
      <c r="AG187">
        <v>36.5</v>
      </c>
    </row>
    <row r="188" spans="1:34" x14ac:dyDescent="0.25">
      <c r="A188" s="1">
        <v>186</v>
      </c>
      <c r="B188" s="1">
        <v>68</v>
      </c>
      <c r="C188" s="1" t="s">
        <v>11</v>
      </c>
      <c r="D188" s="1" t="s">
        <v>21</v>
      </c>
      <c r="E188" s="1" t="s">
        <v>36</v>
      </c>
      <c r="F188" s="1" t="s">
        <v>23</v>
      </c>
      <c r="G188" s="1">
        <v>1999</v>
      </c>
      <c r="H188" s="1">
        <v>15</v>
      </c>
      <c r="I188" s="1">
        <v>3</v>
      </c>
      <c r="J188" s="1" t="s">
        <v>14</v>
      </c>
      <c r="K188" s="1" t="s">
        <v>114</v>
      </c>
      <c r="L188" s="1" t="s">
        <v>16</v>
      </c>
      <c r="M188" s="1" t="s">
        <v>12</v>
      </c>
      <c r="N188" s="1" t="s">
        <v>33</v>
      </c>
      <c r="O188" s="1" t="s">
        <v>29</v>
      </c>
      <c r="P188" s="1" t="s">
        <v>29</v>
      </c>
      <c r="Q188" s="1" t="s">
        <v>19</v>
      </c>
      <c r="R188" s="1" t="s">
        <v>29</v>
      </c>
      <c r="S188" s="1" t="s">
        <v>29</v>
      </c>
      <c r="T188" s="1" t="s">
        <v>14</v>
      </c>
      <c r="U188" s="1" t="s">
        <v>75</v>
      </c>
      <c r="V188" s="1" t="s">
        <v>14</v>
      </c>
      <c r="W188" s="1" t="s">
        <v>75</v>
      </c>
      <c r="X188" s="1">
        <v>1.78</v>
      </c>
      <c r="Y188" s="1">
        <v>78</v>
      </c>
      <c r="Z188" s="3">
        <f t="shared" si="4"/>
        <v>24.618103774775911</v>
      </c>
      <c r="AA188" s="1">
        <v>96</v>
      </c>
      <c r="AB188" s="1">
        <v>99</v>
      </c>
      <c r="AC188" s="3">
        <f t="shared" si="5"/>
        <v>1.03125</v>
      </c>
      <c r="AD188" t="s">
        <v>254</v>
      </c>
      <c r="AE188">
        <v>90</v>
      </c>
      <c r="AF188">
        <v>18</v>
      </c>
      <c r="AG188">
        <v>37</v>
      </c>
      <c r="AH188">
        <v>6.2</v>
      </c>
    </row>
    <row r="189" spans="1:34" x14ac:dyDescent="0.25">
      <c r="A189" s="1">
        <v>187</v>
      </c>
      <c r="B189" s="1">
        <v>72</v>
      </c>
      <c r="C189" s="1" t="s">
        <v>11</v>
      </c>
      <c r="D189" s="1" t="s">
        <v>21</v>
      </c>
      <c r="E189" s="1" t="s">
        <v>22</v>
      </c>
      <c r="F189" s="1" t="s">
        <v>43</v>
      </c>
      <c r="G189" s="1">
        <v>2014</v>
      </c>
      <c r="H189" s="1">
        <v>1</v>
      </c>
      <c r="I189" s="1">
        <v>4</v>
      </c>
      <c r="J189" s="1" t="s">
        <v>19</v>
      </c>
      <c r="K189" s="1" t="s">
        <v>29</v>
      </c>
      <c r="L189" s="1" t="s">
        <v>16</v>
      </c>
      <c r="M189" s="1" t="s">
        <v>29</v>
      </c>
      <c r="N189" s="1" t="s">
        <v>25</v>
      </c>
      <c r="O189" s="1" t="s">
        <v>26</v>
      </c>
      <c r="P189" s="1" t="s">
        <v>40</v>
      </c>
      <c r="Q189" s="1" t="s">
        <v>19</v>
      </c>
      <c r="R189" s="1" t="s">
        <v>29</v>
      </c>
      <c r="S189" s="1" t="s">
        <v>29</v>
      </c>
      <c r="T189" s="1" t="s">
        <v>19</v>
      </c>
      <c r="U189" s="1" t="s">
        <v>29</v>
      </c>
      <c r="V189" s="1" t="s">
        <v>14</v>
      </c>
      <c r="W189" s="1" t="s">
        <v>53</v>
      </c>
      <c r="X189" s="1">
        <v>1.69</v>
      </c>
      <c r="Y189" s="1">
        <v>90</v>
      </c>
      <c r="Z189" s="3">
        <f t="shared" si="4"/>
        <v>31.511501698119819</v>
      </c>
      <c r="AA189" s="1">
        <v>110</v>
      </c>
      <c r="AB189" s="1">
        <v>112</v>
      </c>
      <c r="AC189" s="3">
        <f t="shared" si="5"/>
        <v>1.0181818181818181</v>
      </c>
      <c r="AD189" t="s">
        <v>169</v>
      </c>
      <c r="AE189">
        <v>82</v>
      </c>
      <c r="AF189">
        <v>14</v>
      </c>
      <c r="AG189">
        <v>36.700000000000003</v>
      </c>
      <c r="AH189">
        <v>12.2</v>
      </c>
    </row>
    <row r="190" spans="1:34" x14ac:dyDescent="0.25">
      <c r="A190" s="1">
        <v>188</v>
      </c>
      <c r="B190" s="1">
        <v>51</v>
      </c>
      <c r="C190" s="1" t="s">
        <v>32</v>
      </c>
      <c r="D190" s="1" t="s">
        <v>21</v>
      </c>
      <c r="E190" s="1" t="s">
        <v>36</v>
      </c>
      <c r="F190" s="1" t="s">
        <v>38</v>
      </c>
      <c r="G190" s="1">
        <v>2011</v>
      </c>
      <c r="H190" s="1">
        <v>3</v>
      </c>
      <c r="I190" s="1">
        <v>4</v>
      </c>
      <c r="J190" s="1" t="s">
        <v>14</v>
      </c>
      <c r="K190" s="1" t="s">
        <v>15</v>
      </c>
      <c r="L190" s="1" t="s">
        <v>129</v>
      </c>
      <c r="M190" s="1" t="s">
        <v>12</v>
      </c>
      <c r="N190" s="1" t="s">
        <v>33</v>
      </c>
      <c r="O190" s="1" t="s">
        <v>29</v>
      </c>
      <c r="P190" s="1" t="s">
        <v>29</v>
      </c>
      <c r="Q190" s="1" t="s">
        <v>19</v>
      </c>
      <c r="R190" s="1" t="s">
        <v>29</v>
      </c>
      <c r="S190" s="1" t="s">
        <v>29</v>
      </c>
      <c r="T190" s="1" t="s">
        <v>19</v>
      </c>
      <c r="U190" s="1" t="s">
        <v>29</v>
      </c>
      <c r="V190" s="1" t="s">
        <v>19</v>
      </c>
      <c r="W190" s="1" t="s">
        <v>29</v>
      </c>
      <c r="X190" s="1">
        <v>1.6</v>
      </c>
      <c r="Y190" s="1">
        <v>65</v>
      </c>
      <c r="Z190" s="3">
        <f t="shared" si="4"/>
        <v>25.390624999999996</v>
      </c>
      <c r="AA190" s="1">
        <v>106</v>
      </c>
      <c r="AB190" s="1">
        <v>84</v>
      </c>
      <c r="AC190" s="3">
        <f t="shared" si="5"/>
        <v>0.79245283018867929</v>
      </c>
      <c r="AD190" t="s">
        <v>169</v>
      </c>
      <c r="AE190">
        <v>76</v>
      </c>
      <c r="AF190">
        <v>16</v>
      </c>
      <c r="AG190">
        <v>37.200000000000003</v>
      </c>
      <c r="AH190">
        <v>21</v>
      </c>
    </row>
    <row r="191" spans="1:34" x14ac:dyDescent="0.25">
      <c r="A191" s="1">
        <v>189</v>
      </c>
      <c r="B191" s="1">
        <v>54</v>
      </c>
      <c r="C191" s="1" t="s">
        <v>11</v>
      </c>
      <c r="D191" s="1" t="s">
        <v>21</v>
      </c>
      <c r="E191" s="1" t="s">
        <v>36</v>
      </c>
      <c r="F191" s="1" t="s">
        <v>23</v>
      </c>
      <c r="G191" s="1">
        <v>2009</v>
      </c>
      <c r="H191" s="1">
        <v>5</v>
      </c>
      <c r="I191" s="1">
        <v>4</v>
      </c>
      <c r="J191" s="1" t="s">
        <v>14</v>
      </c>
      <c r="K191" s="1" t="s">
        <v>15</v>
      </c>
      <c r="L191" s="1" t="s">
        <v>18</v>
      </c>
      <c r="M191" s="1" t="s">
        <v>12</v>
      </c>
      <c r="N191" s="1" t="s">
        <v>25</v>
      </c>
      <c r="O191" s="1" t="s">
        <v>26</v>
      </c>
      <c r="P191" s="1" t="s">
        <v>40</v>
      </c>
      <c r="Q191" s="1" t="s">
        <v>14</v>
      </c>
      <c r="R191" s="4" t="s">
        <v>61</v>
      </c>
      <c r="S191" s="1" t="s">
        <v>27</v>
      </c>
      <c r="T191" s="1" t="s">
        <v>14</v>
      </c>
      <c r="U191" s="1" t="s">
        <v>136</v>
      </c>
      <c r="V191" s="1" t="s">
        <v>14</v>
      </c>
      <c r="W191" s="1" t="s">
        <v>45</v>
      </c>
      <c r="X191" s="1">
        <v>1.89</v>
      </c>
      <c r="Y191" s="1">
        <v>100</v>
      </c>
      <c r="Z191" s="3">
        <f t="shared" si="4"/>
        <v>27.994736989445986</v>
      </c>
      <c r="AA191" s="1">
        <v>109</v>
      </c>
      <c r="AB191" s="1">
        <v>115</v>
      </c>
      <c r="AC191" s="3">
        <f t="shared" si="5"/>
        <v>1.0550458715596329</v>
      </c>
      <c r="AD191" t="s">
        <v>255</v>
      </c>
      <c r="AE191">
        <v>62</v>
      </c>
      <c r="AF191">
        <v>12</v>
      </c>
      <c r="AG191">
        <v>36.6</v>
      </c>
    </row>
    <row r="192" spans="1:34" x14ac:dyDescent="0.25">
      <c r="A192" s="1">
        <v>190</v>
      </c>
      <c r="B192" s="1">
        <v>60</v>
      </c>
      <c r="C192" s="1" t="s">
        <v>32</v>
      </c>
      <c r="D192" s="1" t="s">
        <v>42</v>
      </c>
      <c r="E192" s="1" t="s">
        <v>37</v>
      </c>
      <c r="F192" s="1" t="s">
        <v>43</v>
      </c>
      <c r="G192" s="1">
        <v>1998</v>
      </c>
      <c r="H192" s="1">
        <v>16</v>
      </c>
      <c r="I192" s="1">
        <v>4</v>
      </c>
      <c r="J192" s="1" t="s">
        <v>14</v>
      </c>
      <c r="K192" s="1" t="s">
        <v>15</v>
      </c>
      <c r="L192" s="1" t="s">
        <v>129</v>
      </c>
      <c r="M192" s="1" t="s">
        <v>17</v>
      </c>
      <c r="N192" s="1" t="s">
        <v>33</v>
      </c>
      <c r="O192" s="1" t="s">
        <v>29</v>
      </c>
      <c r="P192" s="1" t="s">
        <v>29</v>
      </c>
      <c r="Q192" s="1" t="s">
        <v>19</v>
      </c>
      <c r="R192" s="1" t="s">
        <v>29</v>
      </c>
      <c r="S192" s="1" t="s">
        <v>29</v>
      </c>
      <c r="T192" s="1" t="s">
        <v>14</v>
      </c>
      <c r="U192" s="1" t="s">
        <v>46</v>
      </c>
      <c r="V192" s="1" t="s">
        <v>14</v>
      </c>
      <c r="W192" s="1" t="s">
        <v>46</v>
      </c>
      <c r="X192" s="1">
        <v>1.7</v>
      </c>
      <c r="Y192" s="1">
        <v>73</v>
      </c>
      <c r="Z192" s="3">
        <f t="shared" si="4"/>
        <v>25.259515570934258</v>
      </c>
      <c r="AA192" s="1">
        <v>102</v>
      </c>
      <c r="AB192" s="1">
        <v>99</v>
      </c>
      <c r="AC192" s="3">
        <f t="shared" si="5"/>
        <v>0.97058823529411764</v>
      </c>
      <c r="AD192" t="s">
        <v>256</v>
      </c>
      <c r="AE192">
        <v>75</v>
      </c>
      <c r="AF192">
        <v>14</v>
      </c>
      <c r="AG192">
        <v>36.799999999999997</v>
      </c>
      <c r="AH192">
        <v>15.8</v>
      </c>
    </row>
    <row r="193" spans="1:34" x14ac:dyDescent="0.25">
      <c r="A193" s="1">
        <v>191</v>
      </c>
      <c r="B193" s="1">
        <v>74</v>
      </c>
      <c r="C193" s="1" t="s">
        <v>11</v>
      </c>
      <c r="D193" s="1" t="s">
        <v>21</v>
      </c>
      <c r="E193" s="1" t="s">
        <v>22</v>
      </c>
      <c r="F193" s="1" t="s">
        <v>23</v>
      </c>
      <c r="G193" s="1">
        <v>2014</v>
      </c>
      <c r="H193" s="1">
        <v>1</v>
      </c>
      <c r="I193" s="1">
        <v>4</v>
      </c>
      <c r="J193" s="1" t="s">
        <v>19</v>
      </c>
      <c r="K193" s="1" t="s">
        <v>29</v>
      </c>
      <c r="L193" s="1" t="s">
        <v>16</v>
      </c>
      <c r="M193" s="1" t="s">
        <v>17</v>
      </c>
      <c r="N193" s="1" t="s">
        <v>25</v>
      </c>
      <c r="O193" s="1" t="s">
        <v>26</v>
      </c>
      <c r="P193" s="1" t="s">
        <v>40</v>
      </c>
      <c r="Q193" s="1" t="s">
        <v>14</v>
      </c>
      <c r="R193" s="1" t="s">
        <v>30</v>
      </c>
      <c r="S193" s="1" t="s">
        <v>30</v>
      </c>
      <c r="T193" s="1" t="s">
        <v>19</v>
      </c>
      <c r="U193" s="1" t="s">
        <v>29</v>
      </c>
      <c r="V193" s="1" t="s">
        <v>19</v>
      </c>
      <c r="W193" s="1" t="s">
        <v>29</v>
      </c>
      <c r="X193" s="1">
        <v>1.58</v>
      </c>
      <c r="Y193" s="1">
        <v>72</v>
      </c>
      <c r="Z193" s="3">
        <f t="shared" si="4"/>
        <v>28.841531805800347</v>
      </c>
      <c r="AA193" s="1">
        <v>91</v>
      </c>
      <c r="AB193" s="1">
        <v>105</v>
      </c>
      <c r="AC193" s="3">
        <f t="shared" si="5"/>
        <v>1.1538461538461537</v>
      </c>
      <c r="AD193" t="s">
        <v>221</v>
      </c>
      <c r="AE193">
        <v>90</v>
      </c>
      <c r="AF193">
        <v>14</v>
      </c>
      <c r="AG193">
        <v>37</v>
      </c>
      <c r="AH193">
        <v>8.6</v>
      </c>
    </row>
    <row r="194" spans="1:34" x14ac:dyDescent="0.25">
      <c r="A194" s="1">
        <v>192</v>
      </c>
      <c r="B194" s="1">
        <v>70</v>
      </c>
      <c r="C194" s="1" t="s">
        <v>32</v>
      </c>
      <c r="D194" s="1" t="s">
        <v>42</v>
      </c>
      <c r="E194" s="1" t="s">
        <v>22</v>
      </c>
      <c r="F194" s="1" t="s">
        <v>23</v>
      </c>
      <c r="G194" s="1">
        <v>2013</v>
      </c>
      <c r="H194" s="1">
        <v>1</v>
      </c>
      <c r="I194" s="1">
        <v>4</v>
      </c>
      <c r="J194" s="1" t="s">
        <v>19</v>
      </c>
      <c r="K194" s="1" t="s">
        <v>29</v>
      </c>
      <c r="L194" s="1" t="s">
        <v>18</v>
      </c>
      <c r="M194" s="1" t="s">
        <v>29</v>
      </c>
      <c r="N194" s="1" t="s">
        <v>33</v>
      </c>
      <c r="O194" s="1" t="s">
        <v>29</v>
      </c>
      <c r="P194" s="1" t="s">
        <v>29</v>
      </c>
      <c r="Q194" s="1" t="s">
        <v>19</v>
      </c>
      <c r="R194" s="1" t="s">
        <v>29</v>
      </c>
      <c r="S194" s="1" t="s">
        <v>29</v>
      </c>
      <c r="T194" s="1" t="s">
        <v>19</v>
      </c>
      <c r="U194" s="1" t="s">
        <v>29</v>
      </c>
      <c r="V194" s="1" t="s">
        <v>19</v>
      </c>
      <c r="W194" s="1" t="s">
        <v>29</v>
      </c>
      <c r="X194" s="1">
        <v>1.58</v>
      </c>
      <c r="Y194" s="1">
        <v>69</v>
      </c>
      <c r="Z194" s="3">
        <f t="shared" si="4"/>
        <v>27.639801313892001</v>
      </c>
      <c r="AA194" s="1">
        <v>111</v>
      </c>
      <c r="AB194" s="1">
        <v>105</v>
      </c>
      <c r="AC194" s="3">
        <f t="shared" si="5"/>
        <v>0.94594594594594594</v>
      </c>
      <c r="AD194" t="s">
        <v>214</v>
      </c>
      <c r="AE194">
        <v>82</v>
      </c>
      <c r="AF194">
        <v>16</v>
      </c>
      <c r="AG194">
        <v>36.799999999999997</v>
      </c>
      <c r="AH194">
        <v>9.9</v>
      </c>
    </row>
    <row r="195" spans="1:34" x14ac:dyDescent="0.25">
      <c r="A195" s="1">
        <v>193</v>
      </c>
      <c r="B195" s="1">
        <v>78</v>
      </c>
      <c r="C195" s="1" t="s">
        <v>32</v>
      </c>
      <c r="D195" s="1" t="s">
        <v>21</v>
      </c>
      <c r="E195" s="1" t="s">
        <v>22</v>
      </c>
      <c r="F195" s="1" t="s">
        <v>38</v>
      </c>
      <c r="G195" s="1">
        <v>1994</v>
      </c>
      <c r="H195" s="1">
        <v>20</v>
      </c>
      <c r="I195" s="1">
        <v>3</v>
      </c>
      <c r="J195" s="1" t="s">
        <v>14</v>
      </c>
      <c r="K195" s="1" t="s">
        <v>15</v>
      </c>
      <c r="L195" s="1" t="s">
        <v>16</v>
      </c>
      <c r="M195" s="1" t="s">
        <v>29</v>
      </c>
      <c r="N195" s="1" t="s">
        <v>33</v>
      </c>
      <c r="O195" s="1" t="s">
        <v>29</v>
      </c>
      <c r="P195" s="1" t="s">
        <v>29</v>
      </c>
      <c r="Q195" s="1" t="s">
        <v>19</v>
      </c>
      <c r="R195" s="1" t="s">
        <v>29</v>
      </c>
      <c r="S195" s="1" t="s">
        <v>29</v>
      </c>
      <c r="T195" s="1" t="s">
        <v>14</v>
      </c>
      <c r="U195" s="1" t="s">
        <v>41</v>
      </c>
      <c r="V195" s="1" t="s">
        <v>14</v>
      </c>
      <c r="W195" s="1" t="s">
        <v>75</v>
      </c>
      <c r="X195" s="1">
        <v>1.53</v>
      </c>
      <c r="Y195" s="1">
        <v>54</v>
      </c>
      <c r="Z195" s="3">
        <f t="shared" si="4"/>
        <v>23.068050749711649</v>
      </c>
      <c r="AA195" s="1">
        <v>100</v>
      </c>
      <c r="AB195" s="1">
        <v>98</v>
      </c>
      <c r="AC195" s="3">
        <f t="shared" si="5"/>
        <v>0.98</v>
      </c>
      <c r="AD195" t="s">
        <v>173</v>
      </c>
      <c r="AE195">
        <v>72</v>
      </c>
      <c r="AF195">
        <v>12</v>
      </c>
      <c r="AG195">
        <v>37.200000000000003</v>
      </c>
      <c r="AH195">
        <v>11.5</v>
      </c>
    </row>
    <row r="196" spans="1:34" x14ac:dyDescent="0.25">
      <c r="A196" s="1">
        <v>194</v>
      </c>
      <c r="B196" s="1">
        <v>65</v>
      </c>
      <c r="C196" s="1" t="s">
        <v>32</v>
      </c>
      <c r="D196" s="1" t="s">
        <v>42</v>
      </c>
      <c r="E196" s="1" t="s">
        <v>34</v>
      </c>
      <c r="F196" s="1" t="s">
        <v>23</v>
      </c>
      <c r="G196" s="1">
        <v>2002</v>
      </c>
      <c r="H196" s="1">
        <v>12</v>
      </c>
      <c r="I196" s="1">
        <v>5</v>
      </c>
      <c r="J196" s="1" t="s">
        <v>14</v>
      </c>
      <c r="K196" s="1" t="s">
        <v>15</v>
      </c>
      <c r="L196" s="1" t="s">
        <v>16</v>
      </c>
      <c r="M196" s="1" t="s">
        <v>17</v>
      </c>
      <c r="N196" s="1" t="s">
        <v>33</v>
      </c>
      <c r="O196" s="1" t="s">
        <v>29</v>
      </c>
      <c r="P196" s="1" t="s">
        <v>29</v>
      </c>
      <c r="Q196" s="1" t="s">
        <v>19</v>
      </c>
      <c r="R196" s="1" t="s">
        <v>29</v>
      </c>
      <c r="S196" s="1" t="s">
        <v>29</v>
      </c>
      <c r="T196" s="1" t="s">
        <v>14</v>
      </c>
      <c r="U196" s="1" t="s">
        <v>75</v>
      </c>
      <c r="V196" s="1" t="s">
        <v>19</v>
      </c>
      <c r="W196" s="1" t="s">
        <v>29</v>
      </c>
      <c r="X196" s="1">
        <v>1.57</v>
      </c>
      <c r="Y196" s="1">
        <v>64</v>
      </c>
      <c r="Z196" s="3">
        <f t="shared" ref="Z196:Z259" si="6">(Y196/(X196)^2)</f>
        <v>25.96454217209623</v>
      </c>
      <c r="AA196" s="1">
        <v>102</v>
      </c>
      <c r="AB196" s="1">
        <v>64</v>
      </c>
      <c r="AC196" s="3">
        <f t="shared" si="5"/>
        <v>0.62745098039215685</v>
      </c>
      <c r="AD196" s="36" t="s">
        <v>257</v>
      </c>
      <c r="AE196">
        <v>87</v>
      </c>
      <c r="AF196" s="36">
        <v>16</v>
      </c>
      <c r="AG196" s="36">
        <v>37.200000000000003</v>
      </c>
      <c r="AH196" s="36">
        <v>17.600000000000001</v>
      </c>
    </row>
    <row r="197" spans="1:34" x14ac:dyDescent="0.25">
      <c r="A197" s="1">
        <v>195</v>
      </c>
      <c r="B197" s="1">
        <v>78</v>
      </c>
      <c r="C197" s="1" t="s">
        <v>32</v>
      </c>
      <c r="D197" s="1" t="s">
        <v>21</v>
      </c>
      <c r="E197" s="1" t="s">
        <v>22</v>
      </c>
      <c r="F197" s="1" t="s">
        <v>43</v>
      </c>
      <c r="G197" s="1">
        <v>1998</v>
      </c>
      <c r="H197" s="1">
        <v>16</v>
      </c>
      <c r="I197" s="1">
        <v>4</v>
      </c>
      <c r="J197" s="1" t="s">
        <v>19</v>
      </c>
      <c r="K197" s="1" t="s">
        <v>29</v>
      </c>
      <c r="L197" s="1" t="s">
        <v>18</v>
      </c>
      <c r="M197" s="1" t="s">
        <v>17</v>
      </c>
      <c r="N197" s="1" t="s">
        <v>33</v>
      </c>
      <c r="O197" s="1" t="s">
        <v>29</v>
      </c>
      <c r="P197" s="1" t="s">
        <v>29</v>
      </c>
      <c r="Q197" s="1" t="s">
        <v>19</v>
      </c>
      <c r="R197" s="1" t="s">
        <v>29</v>
      </c>
      <c r="S197" s="1" t="s">
        <v>29</v>
      </c>
      <c r="T197" s="1" t="s">
        <v>14</v>
      </c>
      <c r="U197" s="1" t="s">
        <v>75</v>
      </c>
      <c r="V197" s="1" t="s">
        <v>19</v>
      </c>
      <c r="W197" s="1" t="s">
        <v>29</v>
      </c>
      <c r="X197" s="1">
        <v>1.57</v>
      </c>
      <c r="Y197" s="1">
        <v>62</v>
      </c>
      <c r="Z197" s="3">
        <f t="shared" si="6"/>
        <v>25.153150229218223</v>
      </c>
      <c r="AA197" s="1">
        <v>107</v>
      </c>
      <c r="AB197" s="1">
        <v>99</v>
      </c>
      <c r="AC197" s="3">
        <f t="shared" ref="AC197:AC260" si="7">AB197/AA197</f>
        <v>0.92523364485981308</v>
      </c>
      <c r="AD197" t="s">
        <v>258</v>
      </c>
      <c r="AE197">
        <v>71</v>
      </c>
      <c r="AF197">
        <v>16</v>
      </c>
      <c r="AG197">
        <v>37.1</v>
      </c>
      <c r="AH197">
        <v>19.7</v>
      </c>
    </row>
    <row r="198" spans="1:34" x14ac:dyDescent="0.25">
      <c r="A198" s="1">
        <v>196</v>
      </c>
      <c r="B198" s="1">
        <v>67</v>
      </c>
      <c r="C198" s="1" t="s">
        <v>32</v>
      </c>
      <c r="D198" s="1" t="s">
        <v>21</v>
      </c>
      <c r="E198" s="1" t="s">
        <v>22</v>
      </c>
      <c r="F198" s="1" t="s">
        <v>38</v>
      </c>
      <c r="G198" s="1">
        <v>1997</v>
      </c>
      <c r="H198" s="1">
        <v>17</v>
      </c>
      <c r="I198" s="1">
        <v>3</v>
      </c>
      <c r="J198" s="1" t="s">
        <v>14</v>
      </c>
      <c r="K198" s="1" t="s">
        <v>15</v>
      </c>
      <c r="L198" s="1" t="s">
        <v>18</v>
      </c>
      <c r="M198" s="1" t="s">
        <v>29</v>
      </c>
      <c r="N198" s="1" t="s">
        <v>33</v>
      </c>
      <c r="O198" s="1" t="s">
        <v>29</v>
      </c>
      <c r="P198" s="1" t="s">
        <v>29</v>
      </c>
      <c r="Q198" s="1" t="s">
        <v>19</v>
      </c>
      <c r="R198" s="1" t="s">
        <v>29</v>
      </c>
      <c r="S198" s="1" t="s">
        <v>29</v>
      </c>
      <c r="T198" s="1" t="s">
        <v>14</v>
      </c>
      <c r="U198" s="1" t="s">
        <v>75</v>
      </c>
      <c r="V198" s="1" t="s">
        <v>19</v>
      </c>
      <c r="W198" s="1" t="s">
        <v>29</v>
      </c>
      <c r="X198" s="1">
        <v>1.63</v>
      </c>
      <c r="Y198" s="1">
        <v>68</v>
      </c>
      <c r="Z198" s="3">
        <f t="shared" si="6"/>
        <v>25.59373706198954</v>
      </c>
      <c r="AA198" s="1">
        <v>110</v>
      </c>
      <c r="AB198" s="1">
        <v>93</v>
      </c>
      <c r="AC198" s="3">
        <f t="shared" si="7"/>
        <v>0.84545454545454546</v>
      </c>
      <c r="AD198" t="s">
        <v>259</v>
      </c>
      <c r="AE198">
        <v>60</v>
      </c>
      <c r="AF198">
        <v>18</v>
      </c>
      <c r="AG198">
        <v>36.5</v>
      </c>
      <c r="AH198">
        <v>8</v>
      </c>
    </row>
    <row r="199" spans="1:34" x14ac:dyDescent="0.25">
      <c r="A199" s="1">
        <v>197</v>
      </c>
      <c r="B199" s="1">
        <v>70</v>
      </c>
      <c r="C199" s="1" t="s">
        <v>32</v>
      </c>
      <c r="D199" s="1" t="s">
        <v>42</v>
      </c>
      <c r="E199" s="1" t="s">
        <v>37</v>
      </c>
      <c r="F199" s="1" t="s">
        <v>43</v>
      </c>
      <c r="G199" s="1">
        <v>1994</v>
      </c>
      <c r="H199" s="1">
        <v>20</v>
      </c>
      <c r="I199" s="1">
        <v>6</v>
      </c>
      <c r="J199" s="1" t="s">
        <v>14</v>
      </c>
      <c r="K199" s="1" t="s">
        <v>15</v>
      </c>
      <c r="L199" s="1" t="s">
        <v>18</v>
      </c>
      <c r="M199" s="1" t="s">
        <v>29</v>
      </c>
      <c r="N199" s="1" t="s">
        <v>33</v>
      </c>
      <c r="O199" s="1" t="s">
        <v>29</v>
      </c>
      <c r="P199" s="1" t="s">
        <v>29</v>
      </c>
      <c r="Q199" s="1" t="s">
        <v>19</v>
      </c>
      <c r="R199" s="1" t="s">
        <v>29</v>
      </c>
      <c r="S199" s="1" t="s">
        <v>29</v>
      </c>
      <c r="T199" s="1" t="s">
        <v>14</v>
      </c>
      <c r="U199" s="1" t="s">
        <v>41</v>
      </c>
      <c r="V199" s="1" t="s">
        <v>19</v>
      </c>
      <c r="W199" s="1" t="s">
        <v>29</v>
      </c>
      <c r="X199" s="1">
        <v>1.6</v>
      </c>
      <c r="Y199" s="1">
        <v>69</v>
      </c>
      <c r="Z199" s="3">
        <f t="shared" si="6"/>
        <v>26.953124999999996</v>
      </c>
      <c r="AA199" s="1">
        <v>115</v>
      </c>
      <c r="AB199" s="1">
        <v>96</v>
      </c>
      <c r="AC199" s="3">
        <f t="shared" si="7"/>
        <v>0.83478260869565213</v>
      </c>
      <c r="AD199" t="s">
        <v>260</v>
      </c>
      <c r="AE199">
        <v>110</v>
      </c>
      <c r="AF199">
        <v>20</v>
      </c>
      <c r="AG199">
        <v>36.799999999999997</v>
      </c>
      <c r="AH199">
        <v>14.8</v>
      </c>
    </row>
    <row r="200" spans="1:34" x14ac:dyDescent="0.25">
      <c r="A200" s="1">
        <v>198</v>
      </c>
      <c r="B200" s="1">
        <v>82</v>
      </c>
      <c r="C200" s="1" t="s">
        <v>32</v>
      </c>
      <c r="D200" s="1" t="s">
        <v>42</v>
      </c>
      <c r="E200" s="1" t="s">
        <v>22</v>
      </c>
      <c r="F200" s="1" t="s">
        <v>43</v>
      </c>
      <c r="G200" s="1">
        <v>2014</v>
      </c>
      <c r="H200" s="1">
        <v>1</v>
      </c>
      <c r="I200" s="1">
        <v>4</v>
      </c>
      <c r="J200" s="1" t="s">
        <v>14</v>
      </c>
      <c r="K200" s="1" t="s">
        <v>15</v>
      </c>
      <c r="L200" s="1" t="s">
        <v>16</v>
      </c>
      <c r="M200" s="1" t="s">
        <v>29</v>
      </c>
      <c r="N200" s="1" t="s">
        <v>33</v>
      </c>
      <c r="O200" s="1" t="s">
        <v>29</v>
      </c>
      <c r="P200" s="1" t="s">
        <v>29</v>
      </c>
      <c r="Q200" s="1" t="s">
        <v>19</v>
      </c>
      <c r="R200" s="1" t="s">
        <v>29</v>
      </c>
      <c r="S200" s="1" t="s">
        <v>29</v>
      </c>
      <c r="T200" s="1" t="s">
        <v>19</v>
      </c>
      <c r="U200" s="1" t="s">
        <v>29</v>
      </c>
      <c r="V200" s="1" t="s">
        <v>19</v>
      </c>
      <c r="W200" s="1" t="s">
        <v>29</v>
      </c>
      <c r="X200" s="1">
        <v>1.64</v>
      </c>
      <c r="Y200" s="1">
        <v>74</v>
      </c>
      <c r="Z200" s="3">
        <f t="shared" si="6"/>
        <v>27.513384889946465</v>
      </c>
      <c r="AA200" s="1">
        <v>119</v>
      </c>
      <c r="AB200" s="1">
        <v>106</v>
      </c>
      <c r="AC200" s="3">
        <f t="shared" si="7"/>
        <v>0.89075630252100846</v>
      </c>
      <c r="AD200" t="s">
        <v>175</v>
      </c>
      <c r="AE200">
        <v>85</v>
      </c>
      <c r="AF200">
        <v>14</v>
      </c>
      <c r="AG200">
        <v>37</v>
      </c>
      <c r="AH200">
        <v>7.4</v>
      </c>
    </row>
    <row r="201" spans="1:34" x14ac:dyDescent="0.25">
      <c r="A201" s="1">
        <v>199</v>
      </c>
      <c r="B201" s="1">
        <v>69</v>
      </c>
      <c r="C201" s="1" t="s">
        <v>32</v>
      </c>
      <c r="D201" s="1" t="s">
        <v>21</v>
      </c>
      <c r="E201" s="1" t="s">
        <v>22</v>
      </c>
      <c r="F201" s="1" t="s">
        <v>23</v>
      </c>
      <c r="G201" s="1">
        <v>2013</v>
      </c>
      <c r="H201" s="1">
        <v>1</v>
      </c>
      <c r="I201" s="1">
        <v>6</v>
      </c>
      <c r="J201" s="1" t="s">
        <v>14</v>
      </c>
      <c r="K201" s="1" t="s">
        <v>15</v>
      </c>
      <c r="L201" s="1" t="s">
        <v>16</v>
      </c>
      <c r="M201" s="1" t="s">
        <v>29</v>
      </c>
      <c r="N201" s="1" t="s">
        <v>33</v>
      </c>
      <c r="O201" s="1" t="s">
        <v>29</v>
      </c>
      <c r="P201" s="1" t="s">
        <v>29</v>
      </c>
      <c r="Q201" s="1" t="s">
        <v>19</v>
      </c>
      <c r="R201" s="1" t="s">
        <v>29</v>
      </c>
      <c r="S201" s="1" t="s">
        <v>29</v>
      </c>
      <c r="T201" s="1" t="s">
        <v>19</v>
      </c>
      <c r="U201" s="1" t="s">
        <v>29</v>
      </c>
      <c r="V201" s="1" t="s">
        <v>19</v>
      </c>
      <c r="W201" s="1" t="s">
        <v>29</v>
      </c>
      <c r="X201" s="1">
        <v>1.61</v>
      </c>
      <c r="Y201" s="1">
        <v>71</v>
      </c>
      <c r="Z201" s="3">
        <f t="shared" si="6"/>
        <v>27.390918560240728</v>
      </c>
      <c r="AA201" s="1">
        <v>114</v>
      </c>
      <c r="AB201" s="1">
        <v>99</v>
      </c>
      <c r="AC201" s="3">
        <f t="shared" si="7"/>
        <v>0.86842105263157898</v>
      </c>
      <c r="AD201" t="s">
        <v>175</v>
      </c>
      <c r="AE201">
        <v>72</v>
      </c>
      <c r="AF201">
        <v>14</v>
      </c>
      <c r="AG201">
        <v>37.200000000000003</v>
      </c>
      <c r="AH201">
        <v>5.2</v>
      </c>
    </row>
    <row r="202" spans="1:34" x14ac:dyDescent="0.25">
      <c r="A202" s="1">
        <v>200</v>
      </c>
      <c r="B202" s="1">
        <v>80</v>
      </c>
      <c r="C202" s="1" t="s">
        <v>11</v>
      </c>
      <c r="D202" s="1" t="s">
        <v>21</v>
      </c>
      <c r="E202" s="1" t="s">
        <v>22</v>
      </c>
      <c r="F202" s="1" t="s">
        <v>23</v>
      </c>
      <c r="G202" s="1">
        <v>1979</v>
      </c>
      <c r="H202" s="1">
        <v>35</v>
      </c>
      <c r="I202" s="1">
        <v>4</v>
      </c>
      <c r="J202" s="1" t="s">
        <v>14</v>
      </c>
      <c r="K202" s="1" t="s">
        <v>15</v>
      </c>
      <c r="L202" s="1" t="s">
        <v>16</v>
      </c>
      <c r="M202" s="1" t="s">
        <v>17</v>
      </c>
      <c r="N202" s="1" t="s">
        <v>33</v>
      </c>
      <c r="O202" s="1" t="s">
        <v>29</v>
      </c>
      <c r="P202" s="1" t="s">
        <v>29</v>
      </c>
      <c r="Q202" s="1" t="s">
        <v>19</v>
      </c>
      <c r="R202" s="1" t="s">
        <v>29</v>
      </c>
      <c r="S202" s="1" t="s">
        <v>29</v>
      </c>
      <c r="T202" s="1" t="s">
        <v>19</v>
      </c>
      <c r="U202" s="1" t="s">
        <v>29</v>
      </c>
      <c r="V202" s="1" t="s">
        <v>19</v>
      </c>
      <c r="W202" s="1" t="s">
        <v>29</v>
      </c>
      <c r="X202" s="1">
        <v>1.71</v>
      </c>
      <c r="Y202" s="1">
        <v>68</v>
      </c>
      <c r="Z202" s="3">
        <f t="shared" si="6"/>
        <v>23.255018638213471</v>
      </c>
      <c r="AA202" s="1">
        <v>106</v>
      </c>
      <c r="AB202" s="1">
        <v>96</v>
      </c>
      <c r="AC202" s="3">
        <f t="shared" si="7"/>
        <v>0.90566037735849059</v>
      </c>
      <c r="AD202" t="s">
        <v>188</v>
      </c>
      <c r="AE202">
        <v>92</v>
      </c>
      <c r="AF202">
        <v>16</v>
      </c>
      <c r="AG202">
        <v>36.9</v>
      </c>
      <c r="AH202">
        <v>6.9</v>
      </c>
    </row>
    <row r="203" spans="1:34" x14ac:dyDescent="0.25">
      <c r="A203" s="1">
        <v>201</v>
      </c>
      <c r="B203" s="1">
        <v>46</v>
      </c>
      <c r="C203" s="1" t="s">
        <v>32</v>
      </c>
      <c r="D203" s="1" t="s">
        <v>21</v>
      </c>
      <c r="E203" s="1" t="s">
        <v>22</v>
      </c>
      <c r="F203" s="1" t="s">
        <v>38</v>
      </c>
      <c r="G203" s="1">
        <v>2005</v>
      </c>
      <c r="H203" s="1">
        <v>9</v>
      </c>
      <c r="I203" s="1">
        <v>4</v>
      </c>
      <c r="J203" s="1" t="s">
        <v>19</v>
      </c>
      <c r="K203" s="1" t="s">
        <v>29</v>
      </c>
      <c r="L203" s="1" t="s">
        <v>16</v>
      </c>
      <c r="M203" s="1" t="s">
        <v>29</v>
      </c>
      <c r="N203" s="1" t="s">
        <v>33</v>
      </c>
      <c r="O203" s="1" t="s">
        <v>29</v>
      </c>
      <c r="P203" s="1" t="s">
        <v>29</v>
      </c>
      <c r="Q203" s="1" t="s">
        <v>19</v>
      </c>
      <c r="R203" s="1" t="s">
        <v>29</v>
      </c>
      <c r="S203" s="1" t="s">
        <v>29</v>
      </c>
      <c r="T203" s="1" t="s">
        <v>14</v>
      </c>
      <c r="U203" s="1" t="s">
        <v>41</v>
      </c>
      <c r="V203" s="1" t="s">
        <v>19</v>
      </c>
      <c r="W203" s="1" t="s">
        <v>29</v>
      </c>
      <c r="X203" s="1">
        <v>1.68</v>
      </c>
      <c r="Y203" s="1">
        <v>58</v>
      </c>
      <c r="Z203" s="3">
        <f t="shared" si="6"/>
        <v>20.549886621315196</v>
      </c>
      <c r="AA203" s="1">
        <v>101</v>
      </c>
      <c r="AB203" s="1">
        <v>77</v>
      </c>
      <c r="AC203" s="3">
        <f t="shared" si="7"/>
        <v>0.76237623762376239</v>
      </c>
      <c r="AD203" t="s">
        <v>168</v>
      </c>
      <c r="AE203">
        <v>102</v>
      </c>
      <c r="AF203">
        <v>20</v>
      </c>
      <c r="AG203">
        <v>36.799999999999997</v>
      </c>
      <c r="AH203">
        <v>7</v>
      </c>
    </row>
    <row r="204" spans="1:34" x14ac:dyDescent="0.25">
      <c r="A204" s="1">
        <v>202</v>
      </c>
      <c r="B204" s="1">
        <v>65</v>
      </c>
      <c r="C204" s="1" t="s">
        <v>32</v>
      </c>
      <c r="D204" s="1" t="s">
        <v>21</v>
      </c>
      <c r="E204" s="1" t="s">
        <v>22</v>
      </c>
      <c r="F204" s="1" t="s">
        <v>43</v>
      </c>
      <c r="G204" s="1">
        <v>2013</v>
      </c>
      <c r="H204" s="1">
        <v>1</v>
      </c>
      <c r="I204" s="1">
        <v>3</v>
      </c>
      <c r="J204" s="1" t="s">
        <v>14</v>
      </c>
      <c r="K204" s="1" t="s">
        <v>15</v>
      </c>
      <c r="L204" s="1" t="s">
        <v>18</v>
      </c>
      <c r="M204" s="1" t="s">
        <v>17</v>
      </c>
      <c r="N204" s="1" t="s">
        <v>33</v>
      </c>
      <c r="O204" s="1" t="s">
        <v>29</v>
      </c>
      <c r="P204" s="1" t="s">
        <v>29</v>
      </c>
      <c r="Q204" s="1" t="s">
        <v>19</v>
      </c>
      <c r="R204" s="1" t="s">
        <v>29</v>
      </c>
      <c r="S204" s="1" t="s">
        <v>29</v>
      </c>
      <c r="T204" s="1" t="s">
        <v>14</v>
      </c>
      <c r="U204" s="1" t="s">
        <v>63</v>
      </c>
      <c r="V204" s="1" t="s">
        <v>19</v>
      </c>
      <c r="W204" s="1" t="s">
        <v>29</v>
      </c>
      <c r="X204" s="1">
        <v>1.59</v>
      </c>
      <c r="Y204" s="1">
        <v>54</v>
      </c>
      <c r="Z204" s="3">
        <f t="shared" si="6"/>
        <v>21.359914560341757</v>
      </c>
      <c r="AA204" s="1">
        <v>98</v>
      </c>
      <c r="AB204" s="1">
        <v>82</v>
      </c>
      <c r="AC204" s="3">
        <f t="shared" si="7"/>
        <v>0.83673469387755106</v>
      </c>
      <c r="AD204" t="s">
        <v>261</v>
      </c>
      <c r="AE204">
        <v>56</v>
      </c>
      <c r="AF204">
        <v>14</v>
      </c>
      <c r="AG204">
        <v>36.6</v>
      </c>
      <c r="AH204">
        <v>12.1</v>
      </c>
    </row>
    <row r="205" spans="1:34" x14ac:dyDescent="0.25">
      <c r="A205" s="1">
        <v>203</v>
      </c>
      <c r="B205" s="1">
        <v>73</v>
      </c>
      <c r="C205" s="1" t="s">
        <v>32</v>
      </c>
      <c r="D205" s="1" t="s">
        <v>42</v>
      </c>
      <c r="E205" s="1" t="s">
        <v>22</v>
      </c>
      <c r="F205" s="1" t="s">
        <v>43</v>
      </c>
      <c r="G205" s="1">
        <v>2001</v>
      </c>
      <c r="H205" s="1">
        <v>13</v>
      </c>
      <c r="I205" s="1">
        <v>4</v>
      </c>
      <c r="J205" s="1" t="s">
        <v>14</v>
      </c>
      <c r="K205" s="1" t="s">
        <v>15</v>
      </c>
      <c r="L205" s="1" t="s">
        <v>16</v>
      </c>
      <c r="M205" s="1" t="s">
        <v>17</v>
      </c>
      <c r="N205" s="1" t="s">
        <v>33</v>
      </c>
      <c r="O205" s="1" t="s">
        <v>29</v>
      </c>
      <c r="P205" s="1" t="s">
        <v>29</v>
      </c>
      <c r="Q205" s="1" t="s">
        <v>19</v>
      </c>
      <c r="R205" s="1" t="s">
        <v>29</v>
      </c>
      <c r="S205" s="1" t="s">
        <v>29</v>
      </c>
      <c r="T205" s="1" t="s">
        <v>14</v>
      </c>
      <c r="U205" s="1" t="s">
        <v>53</v>
      </c>
      <c r="V205" s="1" t="s">
        <v>19</v>
      </c>
      <c r="W205" s="1" t="s">
        <v>29</v>
      </c>
      <c r="X205" s="1">
        <v>1.61</v>
      </c>
      <c r="Y205" s="1">
        <v>57</v>
      </c>
      <c r="Z205" s="3">
        <f t="shared" si="6"/>
        <v>21.989892365263682</v>
      </c>
      <c r="AA205" s="1">
        <v>104</v>
      </c>
      <c r="AB205" s="1">
        <v>94</v>
      </c>
      <c r="AC205" s="3">
        <f t="shared" si="7"/>
        <v>0.90384615384615385</v>
      </c>
      <c r="AD205" t="s">
        <v>173</v>
      </c>
      <c r="AE205">
        <v>78</v>
      </c>
      <c r="AF205">
        <v>20</v>
      </c>
      <c r="AG205">
        <v>37</v>
      </c>
      <c r="AH205">
        <v>9.6999999999999993</v>
      </c>
    </row>
    <row r="206" spans="1:34" x14ac:dyDescent="0.25">
      <c r="A206" s="1">
        <v>204</v>
      </c>
      <c r="B206" s="1">
        <v>60</v>
      </c>
      <c r="C206" s="1" t="s">
        <v>32</v>
      </c>
      <c r="D206" s="1" t="s">
        <v>35</v>
      </c>
      <c r="E206" s="1" t="s">
        <v>22</v>
      </c>
      <c r="F206" s="1" t="s">
        <v>38</v>
      </c>
      <c r="G206" s="1">
        <v>2014</v>
      </c>
      <c r="H206" s="1">
        <v>1</v>
      </c>
      <c r="I206" s="1">
        <v>4</v>
      </c>
      <c r="J206" s="1" t="s">
        <v>19</v>
      </c>
      <c r="K206" s="1" t="s">
        <v>29</v>
      </c>
      <c r="L206" s="1" t="s">
        <v>129</v>
      </c>
      <c r="M206" s="1" t="s">
        <v>17</v>
      </c>
      <c r="N206" s="1" t="s">
        <v>33</v>
      </c>
      <c r="O206" s="1" t="s">
        <v>29</v>
      </c>
      <c r="P206" s="1" t="s">
        <v>29</v>
      </c>
      <c r="Q206" s="1" t="s">
        <v>19</v>
      </c>
      <c r="R206" s="1" t="s">
        <v>29</v>
      </c>
      <c r="S206" s="1" t="s">
        <v>29</v>
      </c>
      <c r="T206" s="1" t="s">
        <v>19</v>
      </c>
      <c r="U206" s="1" t="s">
        <v>29</v>
      </c>
      <c r="V206" s="1" t="s">
        <v>14</v>
      </c>
      <c r="W206" s="1" t="s">
        <v>41</v>
      </c>
      <c r="X206" s="1">
        <v>1.57</v>
      </c>
      <c r="Y206" s="1">
        <v>68</v>
      </c>
      <c r="Z206" s="3">
        <f t="shared" si="6"/>
        <v>27.587326057852245</v>
      </c>
      <c r="AA206" s="1">
        <v>110</v>
      </c>
      <c r="AB206" s="1">
        <v>102</v>
      </c>
      <c r="AC206" s="3">
        <f t="shared" si="7"/>
        <v>0.92727272727272725</v>
      </c>
      <c r="AD206" t="s">
        <v>262</v>
      </c>
      <c r="AE206">
        <v>104</v>
      </c>
      <c r="AF206">
        <v>16</v>
      </c>
      <c r="AG206">
        <v>37.1</v>
      </c>
      <c r="AH206">
        <v>6.8</v>
      </c>
    </row>
    <row r="207" spans="1:34" x14ac:dyDescent="0.25">
      <c r="A207" s="1">
        <v>205</v>
      </c>
      <c r="B207" s="1">
        <v>71</v>
      </c>
      <c r="C207" s="1" t="s">
        <v>32</v>
      </c>
      <c r="D207" s="1" t="s">
        <v>21</v>
      </c>
      <c r="E207" s="1" t="s">
        <v>37</v>
      </c>
      <c r="F207" s="1" t="s">
        <v>38</v>
      </c>
      <c r="G207" s="1">
        <v>2002</v>
      </c>
      <c r="H207" s="1">
        <v>12</v>
      </c>
      <c r="I207" s="1">
        <v>6</v>
      </c>
      <c r="J207" s="1" t="s">
        <v>14</v>
      </c>
      <c r="K207" s="1" t="s">
        <v>15</v>
      </c>
      <c r="L207" s="1" t="s">
        <v>129</v>
      </c>
      <c r="M207" s="1" t="s">
        <v>29</v>
      </c>
      <c r="N207" s="1" t="s">
        <v>33</v>
      </c>
      <c r="O207" s="1" t="s">
        <v>29</v>
      </c>
      <c r="P207" s="1" t="s">
        <v>29</v>
      </c>
      <c r="Q207" s="1" t="s">
        <v>19</v>
      </c>
      <c r="R207" s="1" t="s">
        <v>29</v>
      </c>
      <c r="S207" s="1" t="s">
        <v>29</v>
      </c>
      <c r="T207" s="1" t="s">
        <v>14</v>
      </c>
      <c r="U207" s="1" t="s">
        <v>138</v>
      </c>
      <c r="V207" s="1" t="s">
        <v>19</v>
      </c>
      <c r="W207" s="1" t="s">
        <v>29</v>
      </c>
      <c r="X207" s="1">
        <v>1.6</v>
      </c>
      <c r="Y207" s="1">
        <v>55</v>
      </c>
      <c r="Z207" s="3">
        <f t="shared" si="6"/>
        <v>21.484374999999996</v>
      </c>
      <c r="AA207" s="1">
        <v>121</v>
      </c>
      <c r="AB207" s="1">
        <v>101</v>
      </c>
      <c r="AC207" s="3">
        <f t="shared" si="7"/>
        <v>0.83471074380165289</v>
      </c>
      <c r="AD207" t="s">
        <v>231</v>
      </c>
      <c r="AE207">
        <v>88</v>
      </c>
      <c r="AF207">
        <v>18</v>
      </c>
      <c r="AG207">
        <v>37</v>
      </c>
    </row>
    <row r="208" spans="1:34" x14ac:dyDescent="0.25">
      <c r="A208" s="1">
        <v>206</v>
      </c>
      <c r="B208" s="1">
        <v>64</v>
      </c>
      <c r="C208" s="1" t="s">
        <v>11</v>
      </c>
      <c r="D208" s="1" t="s">
        <v>21</v>
      </c>
      <c r="E208" s="1" t="s">
        <v>36</v>
      </c>
      <c r="F208" s="1" t="s">
        <v>23</v>
      </c>
      <c r="G208" s="1">
        <v>2014</v>
      </c>
      <c r="H208" s="63">
        <v>1</v>
      </c>
      <c r="I208" s="1">
        <v>4</v>
      </c>
      <c r="J208" s="1" t="s">
        <v>14</v>
      </c>
      <c r="K208" s="1" t="s">
        <v>15</v>
      </c>
      <c r="L208" s="27" t="s">
        <v>129</v>
      </c>
      <c r="M208" s="27" t="s">
        <v>12</v>
      </c>
      <c r="N208" s="1" t="s">
        <v>25</v>
      </c>
      <c r="O208" s="1" t="s">
        <v>26</v>
      </c>
      <c r="P208" s="1" t="s">
        <v>40</v>
      </c>
      <c r="Q208" s="1" t="s">
        <v>14</v>
      </c>
      <c r="R208" s="1" t="s">
        <v>27</v>
      </c>
      <c r="S208" s="4" t="s">
        <v>61</v>
      </c>
      <c r="T208" s="1" t="s">
        <v>19</v>
      </c>
      <c r="U208" s="1" t="s">
        <v>29</v>
      </c>
      <c r="V208" s="1" t="s">
        <v>19</v>
      </c>
      <c r="W208" s="1" t="s">
        <v>29</v>
      </c>
      <c r="X208" s="1">
        <v>1.85</v>
      </c>
      <c r="Y208" s="1">
        <v>90</v>
      </c>
      <c r="Z208" s="3">
        <f t="shared" si="6"/>
        <v>26.296566837107374</v>
      </c>
      <c r="AA208" s="1">
        <v>100</v>
      </c>
      <c r="AB208" s="1">
        <v>106</v>
      </c>
      <c r="AC208" s="3">
        <f t="shared" si="7"/>
        <v>1.06</v>
      </c>
      <c r="AD208" t="s">
        <v>263</v>
      </c>
      <c r="AE208">
        <v>82</v>
      </c>
      <c r="AF208">
        <v>18</v>
      </c>
      <c r="AG208">
        <v>37.1</v>
      </c>
    </row>
    <row r="209" spans="1:34" x14ac:dyDescent="0.25">
      <c r="A209" s="1">
        <v>207</v>
      </c>
      <c r="B209" s="1">
        <v>69</v>
      </c>
      <c r="C209" s="1" t="s">
        <v>11</v>
      </c>
      <c r="D209" s="1" t="s">
        <v>42</v>
      </c>
      <c r="E209" s="1" t="s">
        <v>22</v>
      </c>
      <c r="F209" s="1" t="s">
        <v>38</v>
      </c>
      <c r="G209" s="1">
        <v>2012</v>
      </c>
      <c r="H209" s="1">
        <v>2</v>
      </c>
      <c r="I209" s="1">
        <v>4</v>
      </c>
      <c r="J209" s="1" t="s">
        <v>19</v>
      </c>
      <c r="K209" s="1" t="s">
        <v>29</v>
      </c>
      <c r="L209" s="1" t="s">
        <v>16</v>
      </c>
      <c r="M209" s="1" t="s">
        <v>16</v>
      </c>
      <c r="N209" s="1" t="s">
        <v>25</v>
      </c>
      <c r="O209" s="1" t="s">
        <v>26</v>
      </c>
      <c r="P209" s="1" t="s">
        <v>40</v>
      </c>
      <c r="Q209" s="1" t="s">
        <v>14</v>
      </c>
      <c r="R209" s="1" t="s">
        <v>27</v>
      </c>
      <c r="S209" s="1" t="s">
        <v>27</v>
      </c>
      <c r="T209" s="1" t="s">
        <v>14</v>
      </c>
      <c r="U209" s="1" t="s">
        <v>49</v>
      </c>
      <c r="V209" s="1" t="s">
        <v>19</v>
      </c>
      <c r="W209" s="1" t="s">
        <v>29</v>
      </c>
      <c r="X209" s="1">
        <v>1.7</v>
      </c>
      <c r="Y209" s="1">
        <v>52</v>
      </c>
      <c r="Z209" s="3">
        <f t="shared" si="6"/>
        <v>17.993079584775089</v>
      </c>
      <c r="AA209" s="1">
        <v>106</v>
      </c>
      <c r="AB209" s="1">
        <v>110</v>
      </c>
      <c r="AC209" s="3">
        <f t="shared" si="7"/>
        <v>1.0377358490566038</v>
      </c>
      <c r="AD209" t="s">
        <v>264</v>
      </c>
      <c r="AE209">
        <v>80</v>
      </c>
      <c r="AF209">
        <v>14</v>
      </c>
      <c r="AG209">
        <v>36.799999999999997</v>
      </c>
    </row>
    <row r="210" spans="1:34" x14ac:dyDescent="0.25">
      <c r="A210" s="1">
        <v>208</v>
      </c>
      <c r="B210" s="1">
        <v>52</v>
      </c>
      <c r="C210" s="1" t="s">
        <v>32</v>
      </c>
      <c r="D210" s="1" t="s">
        <v>21</v>
      </c>
      <c r="E210" s="1" t="s">
        <v>36</v>
      </c>
      <c r="F210" s="1" t="s">
        <v>43</v>
      </c>
      <c r="G210" s="1">
        <v>1998</v>
      </c>
      <c r="H210" s="1">
        <v>16</v>
      </c>
      <c r="I210" s="1">
        <v>3</v>
      </c>
      <c r="J210" s="1" t="s">
        <v>14</v>
      </c>
      <c r="K210" s="1" t="s">
        <v>139</v>
      </c>
      <c r="L210" s="1" t="s">
        <v>129</v>
      </c>
      <c r="M210" s="1" t="s">
        <v>12</v>
      </c>
      <c r="N210" s="1" t="s">
        <v>33</v>
      </c>
      <c r="O210" s="1" t="s">
        <v>29</v>
      </c>
      <c r="P210" s="1" t="s">
        <v>29</v>
      </c>
      <c r="Q210" s="1" t="s">
        <v>19</v>
      </c>
      <c r="R210" s="1" t="s">
        <v>29</v>
      </c>
      <c r="S210" s="1" t="s">
        <v>29</v>
      </c>
      <c r="T210" s="1" t="s">
        <v>14</v>
      </c>
      <c r="U210" s="1" t="s">
        <v>73</v>
      </c>
      <c r="V210" s="1" t="s">
        <v>14</v>
      </c>
      <c r="W210" s="1" t="s">
        <v>59</v>
      </c>
      <c r="X210" s="1">
        <v>1.73</v>
      </c>
      <c r="Y210" s="1">
        <v>81</v>
      </c>
      <c r="Z210" s="3">
        <f t="shared" si="6"/>
        <v>27.064051588760066</v>
      </c>
      <c r="AA210" s="1">
        <v>108</v>
      </c>
      <c r="AB210" s="1">
        <v>105</v>
      </c>
      <c r="AC210" s="3">
        <f t="shared" si="7"/>
        <v>0.97222222222222221</v>
      </c>
      <c r="AD210" t="s">
        <v>265</v>
      </c>
      <c r="AE210">
        <v>98</v>
      </c>
      <c r="AF210">
        <v>16</v>
      </c>
      <c r="AG210">
        <v>37.200000000000003</v>
      </c>
    </row>
    <row r="211" spans="1:34" x14ac:dyDescent="0.25">
      <c r="A211" s="1">
        <v>209</v>
      </c>
      <c r="B211" s="1">
        <v>65</v>
      </c>
      <c r="C211" s="1" t="s">
        <v>32</v>
      </c>
      <c r="D211" s="1" t="s">
        <v>21</v>
      </c>
      <c r="E211" s="1" t="s">
        <v>22</v>
      </c>
      <c r="F211" s="1" t="s">
        <v>43</v>
      </c>
      <c r="G211" s="1">
        <v>2008</v>
      </c>
      <c r="H211" s="1">
        <v>6</v>
      </c>
      <c r="I211" s="1">
        <v>4</v>
      </c>
      <c r="J211" s="1" t="s">
        <v>14</v>
      </c>
      <c r="K211" s="1" t="s">
        <v>15</v>
      </c>
      <c r="L211" s="1" t="s">
        <v>16</v>
      </c>
      <c r="M211" s="1" t="s">
        <v>17</v>
      </c>
      <c r="N211" s="1" t="s">
        <v>33</v>
      </c>
      <c r="O211" s="1" t="s">
        <v>29</v>
      </c>
      <c r="P211" s="1" t="s">
        <v>29</v>
      </c>
      <c r="Q211" s="1" t="s">
        <v>19</v>
      </c>
      <c r="R211" s="1" t="s">
        <v>29</v>
      </c>
      <c r="S211" s="1" t="s">
        <v>29</v>
      </c>
      <c r="T211" s="1" t="s">
        <v>19</v>
      </c>
      <c r="U211" s="1" t="s">
        <v>29</v>
      </c>
      <c r="V211" s="1" t="s">
        <v>19</v>
      </c>
      <c r="W211" s="1" t="s">
        <v>29</v>
      </c>
      <c r="X211" s="1">
        <v>1.68</v>
      </c>
      <c r="Y211" s="1">
        <v>72</v>
      </c>
      <c r="Z211" s="3">
        <f t="shared" si="6"/>
        <v>25.510204081632658</v>
      </c>
      <c r="AA211" s="1">
        <v>111</v>
      </c>
      <c r="AB211" s="1">
        <v>98</v>
      </c>
      <c r="AC211" s="3">
        <f t="shared" si="7"/>
        <v>0.88288288288288286</v>
      </c>
      <c r="AD211" t="s">
        <v>266</v>
      </c>
      <c r="AE211">
        <v>110</v>
      </c>
      <c r="AF211">
        <v>16</v>
      </c>
      <c r="AG211">
        <v>37.1</v>
      </c>
    </row>
    <row r="212" spans="1:34" x14ac:dyDescent="0.25">
      <c r="A212" s="1">
        <v>210</v>
      </c>
      <c r="B212" s="1">
        <v>60</v>
      </c>
      <c r="C212" s="1" t="s">
        <v>62</v>
      </c>
      <c r="D212" s="1" t="s">
        <v>21</v>
      </c>
      <c r="E212" s="1" t="s">
        <v>22</v>
      </c>
      <c r="F212" s="1" t="s">
        <v>43</v>
      </c>
      <c r="G212" s="1">
        <v>2010</v>
      </c>
      <c r="H212" s="1">
        <v>4</v>
      </c>
      <c r="I212" s="1">
        <v>3</v>
      </c>
      <c r="J212" s="1" t="s">
        <v>14</v>
      </c>
      <c r="K212" s="1" t="s">
        <v>15</v>
      </c>
      <c r="L212" s="1" t="s">
        <v>16</v>
      </c>
      <c r="M212" s="1" t="s">
        <v>17</v>
      </c>
      <c r="N212" s="1" t="s">
        <v>33</v>
      </c>
      <c r="O212" s="1" t="s">
        <v>29</v>
      </c>
      <c r="P212" s="1" t="s">
        <v>29</v>
      </c>
      <c r="Q212" s="1" t="s">
        <v>19</v>
      </c>
      <c r="R212" s="1" t="s">
        <v>29</v>
      </c>
      <c r="S212" s="1" t="s">
        <v>29</v>
      </c>
      <c r="T212" s="1" t="s">
        <v>14</v>
      </c>
      <c r="U212" s="1" t="s">
        <v>140</v>
      </c>
      <c r="V212" s="1" t="s">
        <v>14</v>
      </c>
      <c r="W212" s="1" t="s">
        <v>141</v>
      </c>
      <c r="X212" s="1">
        <v>1.58</v>
      </c>
      <c r="Y212" s="1">
        <v>85</v>
      </c>
      <c r="Z212" s="3">
        <f t="shared" si="6"/>
        <v>34.049030604069856</v>
      </c>
      <c r="AA212" s="1">
        <v>122</v>
      </c>
      <c r="AB212" s="1">
        <v>113</v>
      </c>
      <c r="AC212" s="3">
        <f t="shared" si="7"/>
        <v>0.92622950819672134</v>
      </c>
      <c r="AD212" t="s">
        <v>168</v>
      </c>
      <c r="AE212">
        <v>85</v>
      </c>
      <c r="AF212">
        <v>16</v>
      </c>
      <c r="AG212">
        <v>37.200000000000003</v>
      </c>
      <c r="AH212">
        <v>6.6</v>
      </c>
    </row>
    <row r="213" spans="1:34" x14ac:dyDescent="0.25">
      <c r="A213" s="1">
        <v>211</v>
      </c>
      <c r="B213" s="1">
        <v>60</v>
      </c>
      <c r="C213" s="1" t="s">
        <v>32</v>
      </c>
      <c r="D213" s="1" t="s">
        <v>42</v>
      </c>
      <c r="E213" s="1" t="s">
        <v>37</v>
      </c>
      <c r="F213" s="1" t="s">
        <v>38</v>
      </c>
      <c r="G213" s="1">
        <v>2012</v>
      </c>
      <c r="H213" s="1">
        <v>2</v>
      </c>
      <c r="I213" s="1">
        <v>4</v>
      </c>
      <c r="J213" s="1" t="s">
        <v>14</v>
      </c>
      <c r="K213" s="1" t="s">
        <v>15</v>
      </c>
      <c r="L213" s="1" t="s">
        <v>16</v>
      </c>
      <c r="M213" s="1" t="s">
        <v>12</v>
      </c>
      <c r="N213" s="1" t="s">
        <v>33</v>
      </c>
      <c r="O213" s="1" t="s">
        <v>29</v>
      </c>
      <c r="P213" s="1" t="s">
        <v>29</v>
      </c>
      <c r="Q213" s="1" t="s">
        <v>19</v>
      </c>
      <c r="R213" s="1" t="s">
        <v>29</v>
      </c>
      <c r="S213" s="1" t="s">
        <v>29</v>
      </c>
      <c r="T213" s="1" t="s">
        <v>19</v>
      </c>
      <c r="U213" s="1" t="s">
        <v>29</v>
      </c>
      <c r="V213" s="1" t="s">
        <v>19</v>
      </c>
      <c r="W213" s="1" t="s">
        <v>29</v>
      </c>
      <c r="X213" s="1">
        <v>1.45</v>
      </c>
      <c r="Y213" s="1">
        <v>45</v>
      </c>
      <c r="Z213" s="3">
        <f t="shared" si="6"/>
        <v>21.403091557669441</v>
      </c>
      <c r="AA213" s="1">
        <v>103</v>
      </c>
      <c r="AB213" s="1">
        <v>98</v>
      </c>
      <c r="AC213" s="3">
        <f t="shared" si="7"/>
        <v>0.95145631067961167</v>
      </c>
      <c r="AD213" t="s">
        <v>267</v>
      </c>
      <c r="AE213">
        <v>77</v>
      </c>
      <c r="AF213">
        <v>18</v>
      </c>
      <c r="AG213">
        <v>36.799999999999997</v>
      </c>
    </row>
    <row r="214" spans="1:34" x14ac:dyDescent="0.25">
      <c r="A214" s="1">
        <v>212</v>
      </c>
      <c r="B214" s="1">
        <v>62</v>
      </c>
      <c r="C214" s="1" t="s">
        <v>32</v>
      </c>
      <c r="D214" s="1" t="s">
        <v>21</v>
      </c>
      <c r="E214" s="1" t="s">
        <v>37</v>
      </c>
      <c r="F214" s="1" t="s">
        <v>43</v>
      </c>
      <c r="G214" s="1">
        <v>2011</v>
      </c>
      <c r="H214" s="1">
        <v>3</v>
      </c>
      <c r="I214" s="1">
        <v>4</v>
      </c>
      <c r="J214" s="1" t="s">
        <v>19</v>
      </c>
      <c r="K214" s="1" t="s">
        <v>29</v>
      </c>
      <c r="L214" s="1" t="s">
        <v>16</v>
      </c>
      <c r="M214" s="1" t="s">
        <v>29</v>
      </c>
      <c r="N214" s="1" t="s">
        <v>33</v>
      </c>
      <c r="O214" s="1" t="s">
        <v>29</v>
      </c>
      <c r="P214" s="1" t="s">
        <v>29</v>
      </c>
      <c r="Q214" s="1" t="s">
        <v>19</v>
      </c>
      <c r="R214" s="1" t="s">
        <v>29</v>
      </c>
      <c r="S214" s="1" t="s">
        <v>29</v>
      </c>
      <c r="T214" s="1" t="s">
        <v>19</v>
      </c>
      <c r="U214" s="1" t="s">
        <v>29</v>
      </c>
      <c r="V214" s="1" t="s">
        <v>14</v>
      </c>
      <c r="W214" s="1" t="s">
        <v>59</v>
      </c>
      <c r="X214" s="1">
        <v>1.43</v>
      </c>
      <c r="Y214" s="1">
        <v>60</v>
      </c>
      <c r="Z214" s="3">
        <f t="shared" si="6"/>
        <v>29.341288082546829</v>
      </c>
      <c r="AA214" s="1">
        <v>104</v>
      </c>
      <c r="AB214" s="1">
        <v>94</v>
      </c>
      <c r="AC214" s="3">
        <f t="shared" si="7"/>
        <v>0.90384615384615385</v>
      </c>
      <c r="AD214" t="s">
        <v>268</v>
      </c>
      <c r="AE214">
        <v>87</v>
      </c>
      <c r="AF214">
        <v>18</v>
      </c>
      <c r="AG214">
        <v>36.799999999999997</v>
      </c>
    </row>
    <row r="215" spans="1:34" x14ac:dyDescent="0.25">
      <c r="A215" s="1">
        <v>213</v>
      </c>
      <c r="B215" s="1">
        <v>65</v>
      </c>
      <c r="C215" s="1" t="s">
        <v>11</v>
      </c>
      <c r="D215" s="1" t="s">
        <v>21</v>
      </c>
      <c r="E215" s="1" t="s">
        <v>22</v>
      </c>
      <c r="F215" s="1" t="s">
        <v>43</v>
      </c>
      <c r="G215" s="1">
        <v>2007</v>
      </c>
      <c r="H215" s="1">
        <v>7</v>
      </c>
      <c r="I215" s="1">
        <v>4</v>
      </c>
      <c r="J215" s="1" t="s">
        <v>14</v>
      </c>
      <c r="K215" s="1" t="s">
        <v>15</v>
      </c>
      <c r="L215" s="27" t="s">
        <v>16</v>
      </c>
      <c r="M215" s="27" t="s">
        <v>16</v>
      </c>
      <c r="N215" s="1" t="s">
        <v>25</v>
      </c>
      <c r="O215" s="1" t="s">
        <v>26</v>
      </c>
      <c r="P215" s="1" t="s">
        <v>40</v>
      </c>
      <c r="Q215" s="1" t="s">
        <v>14</v>
      </c>
      <c r="R215" s="1" t="s">
        <v>27</v>
      </c>
      <c r="S215" s="4" t="s">
        <v>61</v>
      </c>
      <c r="T215" s="1" t="s">
        <v>19</v>
      </c>
      <c r="U215" s="1" t="s">
        <v>29</v>
      </c>
      <c r="V215" s="1" t="s">
        <v>19</v>
      </c>
      <c r="W215" s="1" t="s">
        <v>29</v>
      </c>
      <c r="X215" s="1">
        <v>1.72</v>
      </c>
      <c r="Y215" s="1">
        <v>69</v>
      </c>
      <c r="Z215" s="3">
        <f t="shared" si="6"/>
        <v>23.323418063818284</v>
      </c>
      <c r="AA215" s="1">
        <v>84</v>
      </c>
      <c r="AB215" s="1">
        <v>102</v>
      </c>
      <c r="AC215" s="3">
        <f t="shared" si="7"/>
        <v>1.2142857142857142</v>
      </c>
      <c r="AD215" t="s">
        <v>269</v>
      </c>
      <c r="AE215">
        <v>105</v>
      </c>
      <c r="AF215">
        <v>20</v>
      </c>
      <c r="AG215">
        <v>37</v>
      </c>
    </row>
    <row r="216" spans="1:34" x14ac:dyDescent="0.25">
      <c r="A216" s="1">
        <v>214</v>
      </c>
      <c r="B216" s="1">
        <v>71</v>
      </c>
      <c r="C216" s="1" t="s">
        <v>11</v>
      </c>
      <c r="D216" s="1" t="s">
        <v>42</v>
      </c>
      <c r="E216" s="1" t="s">
        <v>22</v>
      </c>
      <c r="F216" s="1" t="s">
        <v>38</v>
      </c>
      <c r="G216" s="1">
        <v>2002</v>
      </c>
      <c r="H216" s="1">
        <v>12</v>
      </c>
      <c r="I216" s="1">
        <v>4</v>
      </c>
      <c r="J216" s="1" t="s">
        <v>14</v>
      </c>
      <c r="K216" s="1" t="s">
        <v>142</v>
      </c>
      <c r="L216" s="1" t="s">
        <v>16</v>
      </c>
      <c r="M216" s="1" t="s">
        <v>17</v>
      </c>
      <c r="N216" s="1" t="s">
        <v>25</v>
      </c>
      <c r="O216" s="1" t="s">
        <v>26</v>
      </c>
      <c r="P216" s="1" t="s">
        <v>40</v>
      </c>
      <c r="Q216" s="1" t="s">
        <v>14</v>
      </c>
      <c r="R216" s="1" t="s">
        <v>27</v>
      </c>
      <c r="S216" s="1" t="s">
        <v>27</v>
      </c>
      <c r="T216" s="1" t="s">
        <v>19</v>
      </c>
      <c r="U216" s="1" t="s">
        <v>29</v>
      </c>
      <c r="V216" s="1" t="s">
        <v>14</v>
      </c>
      <c r="W216" s="1" t="s">
        <v>75</v>
      </c>
      <c r="X216" s="1">
        <v>1.76</v>
      </c>
      <c r="Y216" s="1">
        <v>66</v>
      </c>
      <c r="Z216" s="3">
        <f t="shared" si="6"/>
        <v>21.306818181818183</v>
      </c>
      <c r="AA216" s="1">
        <v>93</v>
      </c>
      <c r="AB216" s="1">
        <v>103</v>
      </c>
      <c r="AC216" s="3">
        <f t="shared" si="7"/>
        <v>1.10752688172043</v>
      </c>
      <c r="AD216" t="s">
        <v>214</v>
      </c>
      <c r="AE216">
        <v>86</v>
      </c>
      <c r="AF216">
        <v>14</v>
      </c>
      <c r="AG216">
        <v>37.200000000000003</v>
      </c>
    </row>
    <row r="217" spans="1:34" x14ac:dyDescent="0.25">
      <c r="A217" s="1">
        <v>215</v>
      </c>
      <c r="B217" s="1">
        <v>73</v>
      </c>
      <c r="C217" s="1" t="s">
        <v>11</v>
      </c>
      <c r="D217" s="1" t="s">
        <v>21</v>
      </c>
      <c r="E217" s="1" t="s">
        <v>22</v>
      </c>
      <c r="F217" s="1" t="s">
        <v>38</v>
      </c>
      <c r="G217" s="1">
        <v>1991</v>
      </c>
      <c r="H217" s="1">
        <v>23</v>
      </c>
      <c r="I217" s="1">
        <v>4</v>
      </c>
      <c r="J217" s="1" t="s">
        <v>14</v>
      </c>
      <c r="K217" s="1" t="s">
        <v>143</v>
      </c>
      <c r="L217" s="1" t="s">
        <v>16</v>
      </c>
      <c r="M217" s="1" t="s">
        <v>29</v>
      </c>
      <c r="N217" s="1" t="s">
        <v>33</v>
      </c>
      <c r="O217" s="1" t="s">
        <v>29</v>
      </c>
      <c r="P217" s="1" t="s">
        <v>29</v>
      </c>
      <c r="Q217" s="1" t="s">
        <v>14</v>
      </c>
      <c r="R217" s="1" t="s">
        <v>27</v>
      </c>
      <c r="S217" s="4" t="s">
        <v>58</v>
      </c>
      <c r="T217" s="1" t="s">
        <v>19</v>
      </c>
      <c r="U217" s="1" t="s">
        <v>29</v>
      </c>
      <c r="V217" s="1" t="s">
        <v>19</v>
      </c>
      <c r="W217" s="1" t="s">
        <v>29</v>
      </c>
      <c r="X217" s="1">
        <v>1.74</v>
      </c>
      <c r="Y217" s="1">
        <v>79</v>
      </c>
      <c r="Z217" s="3">
        <f t="shared" si="6"/>
        <v>26.09327520147972</v>
      </c>
      <c r="AA217" s="1">
        <v>91</v>
      </c>
      <c r="AB217" s="1">
        <v>105</v>
      </c>
      <c r="AC217" s="3">
        <f t="shared" si="7"/>
        <v>1.1538461538461537</v>
      </c>
      <c r="AD217" t="s">
        <v>270</v>
      </c>
      <c r="AE217">
        <v>66</v>
      </c>
      <c r="AF217">
        <v>20</v>
      </c>
      <c r="AG217">
        <v>37</v>
      </c>
    </row>
    <row r="218" spans="1:34" x14ac:dyDescent="0.25">
      <c r="A218" s="1">
        <v>216</v>
      </c>
      <c r="B218" s="1">
        <v>45</v>
      </c>
      <c r="C218" s="1" t="s">
        <v>32</v>
      </c>
      <c r="D218" s="1" t="s">
        <v>21</v>
      </c>
      <c r="E218" s="1" t="s">
        <v>22</v>
      </c>
      <c r="F218" s="1" t="s">
        <v>38</v>
      </c>
      <c r="G218" s="1">
        <v>2013</v>
      </c>
      <c r="H218" s="1">
        <v>1</v>
      </c>
      <c r="I218" s="1">
        <v>7</v>
      </c>
      <c r="J218" s="1" t="s">
        <v>19</v>
      </c>
      <c r="K218" s="1" t="s">
        <v>143</v>
      </c>
      <c r="L218" s="1" t="s">
        <v>129</v>
      </c>
      <c r="M218" s="1" t="s">
        <v>29</v>
      </c>
      <c r="N218" s="1" t="s">
        <v>33</v>
      </c>
      <c r="O218" s="1" t="s">
        <v>29</v>
      </c>
      <c r="P218" s="1" t="s">
        <v>29</v>
      </c>
      <c r="Q218" s="1" t="s">
        <v>19</v>
      </c>
      <c r="R218" s="1" t="s">
        <v>29</v>
      </c>
      <c r="S218" s="1" t="s">
        <v>29</v>
      </c>
      <c r="T218" s="1" t="s">
        <v>19</v>
      </c>
      <c r="U218" s="1" t="s">
        <v>29</v>
      </c>
      <c r="V218" s="1" t="s">
        <v>19</v>
      </c>
      <c r="W218" s="1" t="s">
        <v>29</v>
      </c>
      <c r="X218" s="1">
        <v>1.53</v>
      </c>
      <c r="Y218" s="1">
        <v>81</v>
      </c>
      <c r="Z218" s="3">
        <f t="shared" si="6"/>
        <v>34.602076124567475</v>
      </c>
      <c r="AA218" s="1">
        <v>125</v>
      </c>
      <c r="AB218" s="1">
        <v>104</v>
      </c>
      <c r="AC218" s="3">
        <f t="shared" si="7"/>
        <v>0.83199999999999996</v>
      </c>
      <c r="AD218" t="s">
        <v>173</v>
      </c>
      <c r="AE218">
        <v>86</v>
      </c>
      <c r="AF218">
        <v>18</v>
      </c>
      <c r="AG218">
        <v>37.200000000000003</v>
      </c>
    </row>
    <row r="219" spans="1:34" x14ac:dyDescent="0.25">
      <c r="A219" s="1">
        <v>217</v>
      </c>
      <c r="B219" s="1">
        <v>76</v>
      </c>
      <c r="C219" s="1" t="s">
        <v>32</v>
      </c>
      <c r="D219" s="1" t="s">
        <v>21</v>
      </c>
      <c r="E219" s="1" t="s">
        <v>22</v>
      </c>
      <c r="F219" s="1" t="s">
        <v>43</v>
      </c>
      <c r="G219" s="1">
        <v>1997</v>
      </c>
      <c r="H219" s="1">
        <v>17</v>
      </c>
      <c r="I219" s="1">
        <v>4</v>
      </c>
      <c r="J219" s="1" t="s">
        <v>14</v>
      </c>
      <c r="K219" s="1" t="s">
        <v>15</v>
      </c>
      <c r="L219" s="1" t="s">
        <v>16</v>
      </c>
      <c r="M219" s="1" t="s">
        <v>12</v>
      </c>
      <c r="N219" s="1" t="s">
        <v>33</v>
      </c>
      <c r="O219" s="1" t="s">
        <v>29</v>
      </c>
      <c r="P219" s="1" t="s">
        <v>29</v>
      </c>
      <c r="Q219" s="1" t="s">
        <v>19</v>
      </c>
      <c r="R219" s="1" t="s">
        <v>29</v>
      </c>
      <c r="S219" s="1" t="s">
        <v>29</v>
      </c>
      <c r="T219" s="1" t="s">
        <v>19</v>
      </c>
      <c r="U219" s="1" t="s">
        <v>29</v>
      </c>
      <c r="V219" s="1" t="s">
        <v>19</v>
      </c>
      <c r="W219" s="1" t="s">
        <v>29</v>
      </c>
      <c r="X219" s="1">
        <v>1.53</v>
      </c>
      <c r="Y219" s="1">
        <v>80</v>
      </c>
      <c r="Z219" s="3">
        <f t="shared" si="6"/>
        <v>34.174889999572812</v>
      </c>
      <c r="AA219" s="1">
        <v>116</v>
      </c>
      <c r="AB219" s="1">
        <v>106</v>
      </c>
      <c r="AC219" s="3">
        <f t="shared" si="7"/>
        <v>0.91379310344827591</v>
      </c>
      <c r="AD219" t="s">
        <v>271</v>
      </c>
      <c r="AE219">
        <v>60</v>
      </c>
      <c r="AF219">
        <v>16</v>
      </c>
      <c r="AG219">
        <v>37.200000000000003</v>
      </c>
    </row>
    <row r="220" spans="1:34" x14ac:dyDescent="0.25">
      <c r="A220" s="1">
        <v>218</v>
      </c>
      <c r="B220" s="1">
        <v>55</v>
      </c>
      <c r="C220" s="1" t="s">
        <v>32</v>
      </c>
      <c r="D220" s="1" t="s">
        <v>21</v>
      </c>
      <c r="E220" s="1" t="s">
        <v>36</v>
      </c>
      <c r="F220" s="1" t="s">
        <v>23</v>
      </c>
      <c r="G220" s="1">
        <v>2006</v>
      </c>
      <c r="H220" s="1">
        <v>8</v>
      </c>
      <c r="I220" s="1">
        <v>4</v>
      </c>
      <c r="J220" s="1" t="s">
        <v>14</v>
      </c>
      <c r="K220" s="1" t="s">
        <v>15</v>
      </c>
      <c r="L220" s="1" t="s">
        <v>16</v>
      </c>
      <c r="M220" s="1" t="s">
        <v>17</v>
      </c>
      <c r="N220" s="1" t="s">
        <v>33</v>
      </c>
      <c r="O220" s="1" t="s">
        <v>29</v>
      </c>
      <c r="P220" s="1" t="s">
        <v>29</v>
      </c>
      <c r="Q220" s="1" t="s">
        <v>19</v>
      </c>
      <c r="R220" s="1" t="s">
        <v>29</v>
      </c>
      <c r="S220" s="1" t="s">
        <v>29</v>
      </c>
      <c r="T220" s="1" t="s">
        <v>14</v>
      </c>
      <c r="U220" s="1" t="s">
        <v>41</v>
      </c>
      <c r="V220" s="1" t="s">
        <v>14</v>
      </c>
      <c r="W220" s="1" t="s">
        <v>41</v>
      </c>
      <c r="X220" s="1">
        <v>1.63</v>
      </c>
      <c r="Y220" s="1">
        <v>62</v>
      </c>
      <c r="Z220" s="3">
        <f t="shared" si="6"/>
        <v>23.335466144755166</v>
      </c>
      <c r="AA220" s="1">
        <v>105</v>
      </c>
      <c r="AB220" s="1">
        <v>98</v>
      </c>
      <c r="AC220" s="3">
        <f t="shared" si="7"/>
        <v>0.93333333333333335</v>
      </c>
      <c r="AD220" t="s">
        <v>272</v>
      </c>
      <c r="AE220">
        <v>70</v>
      </c>
      <c r="AF220">
        <v>18</v>
      </c>
      <c r="AG220">
        <v>37.200000000000003</v>
      </c>
    </row>
    <row r="221" spans="1:34" x14ac:dyDescent="0.25">
      <c r="A221" s="1">
        <v>219</v>
      </c>
      <c r="B221" s="1">
        <v>67</v>
      </c>
      <c r="C221" s="1" t="s">
        <v>11</v>
      </c>
      <c r="D221" s="1" t="s">
        <v>21</v>
      </c>
      <c r="E221" s="1" t="s">
        <v>36</v>
      </c>
      <c r="F221" s="1" t="s">
        <v>23</v>
      </c>
      <c r="G221" s="1">
        <v>2003</v>
      </c>
      <c r="H221" s="1">
        <v>11</v>
      </c>
      <c r="I221" s="1">
        <v>4</v>
      </c>
      <c r="J221" s="1" t="s">
        <v>14</v>
      </c>
      <c r="K221" s="1" t="s">
        <v>15</v>
      </c>
      <c r="L221" s="1" t="s">
        <v>16</v>
      </c>
      <c r="M221" s="1" t="s">
        <v>12</v>
      </c>
      <c r="N221" s="1" t="s">
        <v>25</v>
      </c>
      <c r="O221" s="1" t="s">
        <v>26</v>
      </c>
      <c r="P221" s="1" t="s">
        <v>40</v>
      </c>
      <c r="Q221" s="1" t="s">
        <v>14</v>
      </c>
      <c r="R221" s="1" t="s">
        <v>27</v>
      </c>
      <c r="S221" s="4" t="s">
        <v>61</v>
      </c>
      <c r="T221" s="1" t="s">
        <v>14</v>
      </c>
      <c r="U221" s="1" t="s">
        <v>63</v>
      </c>
      <c r="V221" s="1" t="s">
        <v>14</v>
      </c>
      <c r="W221" s="1" t="s">
        <v>53</v>
      </c>
      <c r="X221" s="1">
        <v>1.68</v>
      </c>
      <c r="Y221" s="1">
        <v>58</v>
      </c>
      <c r="Z221" s="3">
        <f t="shared" si="6"/>
        <v>20.549886621315196</v>
      </c>
      <c r="AA221" s="1">
        <v>74</v>
      </c>
      <c r="AB221" s="1">
        <v>92</v>
      </c>
      <c r="AC221" s="3">
        <f t="shared" si="7"/>
        <v>1.2432432432432432</v>
      </c>
      <c r="AD221" t="s">
        <v>265</v>
      </c>
      <c r="AE221">
        <v>70</v>
      </c>
      <c r="AF221">
        <v>16</v>
      </c>
      <c r="AG221">
        <v>37.200000000000003</v>
      </c>
    </row>
    <row r="222" spans="1:34" x14ac:dyDescent="0.25">
      <c r="A222" s="1">
        <v>220</v>
      </c>
      <c r="B222" s="1">
        <v>33</v>
      </c>
      <c r="C222" s="1" t="s">
        <v>32</v>
      </c>
      <c r="D222" s="1" t="s">
        <v>21</v>
      </c>
      <c r="E222" s="1" t="s">
        <v>36</v>
      </c>
      <c r="F222" s="1" t="s">
        <v>38</v>
      </c>
      <c r="G222" s="1">
        <v>1998</v>
      </c>
      <c r="H222" s="1">
        <v>16</v>
      </c>
      <c r="I222" s="1">
        <v>4</v>
      </c>
      <c r="J222" s="1" t="s">
        <v>19</v>
      </c>
      <c r="K222" s="1" t="s">
        <v>29</v>
      </c>
      <c r="L222" s="1" t="s">
        <v>18</v>
      </c>
      <c r="M222" s="1" t="s">
        <v>29</v>
      </c>
      <c r="N222" s="1" t="s">
        <v>33</v>
      </c>
      <c r="O222" s="1" t="s">
        <v>29</v>
      </c>
      <c r="P222" s="1" t="s">
        <v>29</v>
      </c>
      <c r="Q222" s="1" t="s">
        <v>19</v>
      </c>
      <c r="R222" s="1" t="s">
        <v>29</v>
      </c>
      <c r="S222" s="1" t="s">
        <v>29</v>
      </c>
      <c r="T222" s="1" t="s">
        <v>19</v>
      </c>
      <c r="U222" s="1" t="s">
        <v>29</v>
      </c>
      <c r="V222" s="1" t="s">
        <v>14</v>
      </c>
      <c r="W222" s="1" t="s">
        <v>59</v>
      </c>
      <c r="X222" s="1">
        <v>1.44</v>
      </c>
      <c r="Y222" s="1">
        <v>50</v>
      </c>
      <c r="Z222" s="3">
        <f t="shared" si="6"/>
        <v>24.112654320987655</v>
      </c>
      <c r="AA222" s="1">
        <v>93</v>
      </c>
      <c r="AB222" s="1">
        <v>78</v>
      </c>
      <c r="AC222" s="3">
        <f t="shared" si="7"/>
        <v>0.83870967741935487</v>
      </c>
      <c r="AD222" t="s">
        <v>169</v>
      </c>
      <c r="AE222">
        <v>78</v>
      </c>
      <c r="AF222">
        <v>18</v>
      </c>
      <c r="AG222">
        <v>36.799999999999997</v>
      </c>
    </row>
    <row r="223" spans="1:34" x14ac:dyDescent="0.25">
      <c r="A223" s="1">
        <v>221</v>
      </c>
      <c r="B223" s="1">
        <v>81</v>
      </c>
      <c r="C223" s="1" t="s">
        <v>11</v>
      </c>
      <c r="D223" s="1" t="s">
        <v>21</v>
      </c>
      <c r="E223" s="1" t="s">
        <v>22</v>
      </c>
      <c r="F223" s="1" t="s">
        <v>23</v>
      </c>
      <c r="G223" s="1">
        <v>1978</v>
      </c>
      <c r="H223" s="1">
        <v>36</v>
      </c>
      <c r="I223" s="1">
        <v>5</v>
      </c>
      <c r="J223" s="1" t="s">
        <v>14</v>
      </c>
      <c r="K223" s="1" t="s">
        <v>15</v>
      </c>
      <c r="L223" s="1" t="s">
        <v>18</v>
      </c>
      <c r="M223" s="1" t="s">
        <v>16</v>
      </c>
      <c r="N223" s="1" t="s">
        <v>25</v>
      </c>
      <c r="O223" s="1" t="s">
        <v>57</v>
      </c>
      <c r="P223" s="1" t="s">
        <v>28</v>
      </c>
      <c r="Q223" s="1" t="s">
        <v>14</v>
      </c>
      <c r="R223" s="1" t="s">
        <v>58</v>
      </c>
      <c r="S223" s="1" t="s">
        <v>58</v>
      </c>
      <c r="T223" s="1" t="s">
        <v>14</v>
      </c>
      <c r="U223" s="1" t="s">
        <v>63</v>
      </c>
      <c r="V223" s="1" t="s">
        <v>14</v>
      </c>
      <c r="W223" s="1" t="s">
        <v>75</v>
      </c>
      <c r="X223" s="1">
        <v>1.66</v>
      </c>
      <c r="Y223" s="1">
        <v>65</v>
      </c>
      <c r="Z223" s="3">
        <f t="shared" si="6"/>
        <v>23.588329220496444</v>
      </c>
      <c r="AA223" s="1">
        <v>91</v>
      </c>
      <c r="AB223" s="1">
        <v>87</v>
      </c>
      <c r="AC223" s="3">
        <f t="shared" si="7"/>
        <v>0.95604395604395609</v>
      </c>
      <c r="AD223" t="s">
        <v>273</v>
      </c>
      <c r="AE223">
        <v>72</v>
      </c>
      <c r="AF223">
        <v>18</v>
      </c>
      <c r="AG223">
        <v>36.799999999999997</v>
      </c>
    </row>
    <row r="224" spans="1:34" x14ac:dyDescent="0.25">
      <c r="A224" s="1">
        <v>222</v>
      </c>
      <c r="B224" s="1">
        <v>84</v>
      </c>
      <c r="C224" s="1" t="s">
        <v>11</v>
      </c>
      <c r="D224" s="1" t="s">
        <v>42</v>
      </c>
      <c r="E224" s="1" t="s">
        <v>22</v>
      </c>
      <c r="F224" s="1" t="s">
        <v>38</v>
      </c>
      <c r="G224" s="1">
        <v>2010</v>
      </c>
      <c r="H224" s="1">
        <v>4</v>
      </c>
      <c r="I224" s="1">
        <v>4</v>
      </c>
      <c r="J224" s="1" t="s">
        <v>14</v>
      </c>
      <c r="K224" s="1" t="s">
        <v>15</v>
      </c>
      <c r="L224" s="27" t="s">
        <v>16</v>
      </c>
      <c r="M224" s="27" t="s">
        <v>16</v>
      </c>
      <c r="N224" s="1" t="s">
        <v>33</v>
      </c>
      <c r="O224" s="1" t="s">
        <v>29</v>
      </c>
      <c r="P224" s="1" t="s">
        <v>29</v>
      </c>
      <c r="Q224" s="1" t="s">
        <v>19</v>
      </c>
      <c r="R224" s="1" t="s">
        <v>29</v>
      </c>
      <c r="S224" s="1" t="s">
        <v>29</v>
      </c>
      <c r="T224" s="1" t="s">
        <v>19</v>
      </c>
      <c r="U224" s="1" t="s">
        <v>29</v>
      </c>
      <c r="V224" s="1" t="s">
        <v>19</v>
      </c>
      <c r="W224" s="1" t="s">
        <v>29</v>
      </c>
      <c r="X224" s="1">
        <v>1.55</v>
      </c>
      <c r="Y224" s="1">
        <v>58</v>
      </c>
      <c r="Z224" s="3">
        <f t="shared" si="6"/>
        <v>24.141519250780433</v>
      </c>
      <c r="AA224" s="1">
        <v>85</v>
      </c>
      <c r="AB224" s="1">
        <v>97</v>
      </c>
      <c r="AC224" s="3">
        <f t="shared" si="7"/>
        <v>1.1411764705882352</v>
      </c>
      <c r="AD224" t="s">
        <v>274</v>
      </c>
      <c r="AE224">
        <v>82</v>
      </c>
      <c r="AF224">
        <v>12</v>
      </c>
      <c r="AG224">
        <v>36.6</v>
      </c>
    </row>
    <row r="225" spans="1:34" x14ac:dyDescent="0.25">
      <c r="A225" s="1">
        <v>223</v>
      </c>
      <c r="B225" s="1">
        <v>75</v>
      </c>
      <c r="C225" s="1" t="s">
        <v>11</v>
      </c>
      <c r="D225" s="1" t="s">
        <v>21</v>
      </c>
      <c r="E225" s="1" t="s">
        <v>22</v>
      </c>
      <c r="F225" s="1" t="s">
        <v>38</v>
      </c>
      <c r="G225" s="1">
        <v>2014</v>
      </c>
      <c r="H225" s="1">
        <v>1</v>
      </c>
      <c r="I225" s="1">
        <v>4</v>
      </c>
      <c r="J225" s="1" t="s">
        <v>19</v>
      </c>
      <c r="K225" s="1" t="s">
        <v>29</v>
      </c>
      <c r="L225" s="1" t="s">
        <v>16</v>
      </c>
      <c r="M225" s="1" t="s">
        <v>29</v>
      </c>
      <c r="N225" s="1" t="s">
        <v>25</v>
      </c>
      <c r="O225" s="1" t="s">
        <v>26</v>
      </c>
      <c r="P225" s="1" t="s">
        <v>40</v>
      </c>
      <c r="Q225" s="1" t="s">
        <v>14</v>
      </c>
      <c r="R225" s="1" t="s">
        <v>27</v>
      </c>
      <c r="S225" s="1" t="s">
        <v>27</v>
      </c>
      <c r="T225" s="1" t="s">
        <v>19</v>
      </c>
      <c r="U225" s="1" t="s">
        <v>29</v>
      </c>
      <c r="V225" s="1" t="s">
        <v>19</v>
      </c>
      <c r="W225" s="1" t="s">
        <v>29</v>
      </c>
      <c r="X225" s="1">
        <v>1.76</v>
      </c>
      <c r="Y225" s="1">
        <v>80</v>
      </c>
      <c r="Z225" s="3">
        <f t="shared" si="6"/>
        <v>25.826446280991735</v>
      </c>
      <c r="AA225" s="1">
        <v>107</v>
      </c>
      <c r="AB225" s="1">
        <v>118</v>
      </c>
      <c r="AC225" s="3">
        <f t="shared" si="7"/>
        <v>1.1028037383177569</v>
      </c>
      <c r="AD225" t="s">
        <v>184</v>
      </c>
      <c r="AE225">
        <v>76</v>
      </c>
      <c r="AF225">
        <v>16</v>
      </c>
      <c r="AG225">
        <v>37.1</v>
      </c>
    </row>
    <row r="226" spans="1:34" x14ac:dyDescent="0.25">
      <c r="A226" s="1">
        <v>224</v>
      </c>
      <c r="B226" s="1">
        <v>71</v>
      </c>
      <c r="C226" s="1" t="s">
        <v>32</v>
      </c>
      <c r="D226" s="1" t="s">
        <v>42</v>
      </c>
      <c r="E226" s="1" t="s">
        <v>22</v>
      </c>
      <c r="F226" s="1" t="s">
        <v>43</v>
      </c>
      <c r="G226" s="1">
        <v>2006</v>
      </c>
      <c r="H226" s="1">
        <v>8</v>
      </c>
      <c r="I226" s="1">
        <v>5</v>
      </c>
      <c r="J226" s="1" t="s">
        <v>14</v>
      </c>
      <c r="K226" s="1" t="s">
        <v>15</v>
      </c>
      <c r="L226" s="1" t="s">
        <v>16</v>
      </c>
      <c r="M226" s="1" t="s">
        <v>12</v>
      </c>
      <c r="N226" s="1" t="s">
        <v>33</v>
      </c>
      <c r="O226" s="1" t="s">
        <v>29</v>
      </c>
      <c r="P226" s="1" t="s">
        <v>29</v>
      </c>
      <c r="Q226" s="1" t="s">
        <v>19</v>
      </c>
      <c r="R226" s="1" t="s">
        <v>29</v>
      </c>
      <c r="S226" s="1" t="s">
        <v>29</v>
      </c>
      <c r="T226" s="1" t="s">
        <v>14</v>
      </c>
      <c r="U226" s="1" t="s">
        <v>53</v>
      </c>
      <c r="V226" s="1" t="s">
        <v>19</v>
      </c>
      <c r="W226" s="1" t="s">
        <v>29</v>
      </c>
      <c r="X226" s="1">
        <v>1.6</v>
      </c>
      <c r="Y226" s="1">
        <v>81</v>
      </c>
      <c r="Z226" s="3">
        <f t="shared" si="6"/>
        <v>31.640624999999993</v>
      </c>
      <c r="AA226" s="1">
        <v>120</v>
      </c>
      <c r="AB226" s="1">
        <v>100</v>
      </c>
      <c r="AC226" s="3">
        <f t="shared" si="7"/>
        <v>0.83333333333333337</v>
      </c>
      <c r="AD226" t="s">
        <v>275</v>
      </c>
      <c r="AE226">
        <v>65</v>
      </c>
      <c r="AF226">
        <v>16</v>
      </c>
      <c r="AG226">
        <v>37.299999999999997</v>
      </c>
    </row>
    <row r="227" spans="1:34" x14ac:dyDescent="0.25">
      <c r="A227" s="1">
        <v>225</v>
      </c>
      <c r="B227" s="1">
        <v>63</v>
      </c>
      <c r="C227" s="1" t="s">
        <v>11</v>
      </c>
      <c r="D227" s="1" t="s">
        <v>21</v>
      </c>
      <c r="E227" s="1" t="s">
        <v>34</v>
      </c>
      <c r="F227" s="1" t="s">
        <v>38</v>
      </c>
      <c r="G227" s="1">
        <v>2008</v>
      </c>
      <c r="H227" s="1">
        <v>6</v>
      </c>
      <c r="I227" s="1">
        <v>4</v>
      </c>
      <c r="J227" s="1" t="s">
        <v>14</v>
      </c>
      <c r="K227" s="1" t="s">
        <v>15</v>
      </c>
      <c r="L227" s="1" t="s">
        <v>16</v>
      </c>
      <c r="M227" s="1" t="s">
        <v>16</v>
      </c>
      <c r="N227" s="1" t="s">
        <v>33</v>
      </c>
      <c r="O227" s="1" t="s">
        <v>29</v>
      </c>
      <c r="P227" s="1" t="s">
        <v>29</v>
      </c>
      <c r="Q227" s="1" t="s">
        <v>19</v>
      </c>
      <c r="R227" s="1" t="s">
        <v>29</v>
      </c>
      <c r="S227" s="1" t="s">
        <v>29</v>
      </c>
      <c r="T227" s="1" t="s">
        <v>19</v>
      </c>
      <c r="U227" s="1" t="s">
        <v>29</v>
      </c>
      <c r="V227" s="1" t="s">
        <v>19</v>
      </c>
      <c r="W227" s="1" t="s">
        <v>29</v>
      </c>
      <c r="X227" s="1">
        <v>1.78</v>
      </c>
      <c r="Y227" s="1">
        <v>85</v>
      </c>
      <c r="Z227" s="3">
        <f t="shared" si="6"/>
        <v>26.82742078020452</v>
      </c>
      <c r="AA227" s="1">
        <v>109</v>
      </c>
      <c r="AB227" s="1">
        <v>118</v>
      </c>
      <c r="AC227" s="3">
        <f t="shared" si="7"/>
        <v>1.0825688073394495</v>
      </c>
      <c r="AD227" t="s">
        <v>168</v>
      </c>
      <c r="AE227">
        <v>76</v>
      </c>
      <c r="AF227">
        <v>14</v>
      </c>
      <c r="AG227">
        <v>37.299999999999997</v>
      </c>
    </row>
    <row r="228" spans="1:34" x14ac:dyDescent="0.25">
      <c r="A228" s="1">
        <v>226</v>
      </c>
      <c r="B228" s="1">
        <v>79</v>
      </c>
      <c r="C228" s="1" t="s">
        <v>11</v>
      </c>
      <c r="D228" s="1" t="s">
        <v>21</v>
      </c>
      <c r="E228" s="1" t="s">
        <v>36</v>
      </c>
      <c r="F228" s="1" t="s">
        <v>23</v>
      </c>
      <c r="G228" s="1">
        <v>2002</v>
      </c>
      <c r="H228" s="1">
        <v>12</v>
      </c>
      <c r="I228" s="1">
        <v>4</v>
      </c>
      <c r="J228" s="1" t="s">
        <v>14</v>
      </c>
      <c r="K228" s="1" t="s">
        <v>144</v>
      </c>
      <c r="L228" s="1" t="s">
        <v>16</v>
      </c>
      <c r="M228" s="1" t="s">
        <v>17</v>
      </c>
      <c r="N228" s="1" t="s">
        <v>25</v>
      </c>
      <c r="O228" s="1" t="s">
        <v>26</v>
      </c>
      <c r="P228" s="1" t="s">
        <v>40</v>
      </c>
      <c r="Q228" s="1" t="s">
        <v>14</v>
      </c>
      <c r="R228" s="1" t="s">
        <v>27</v>
      </c>
      <c r="S228" s="1" t="s">
        <v>27</v>
      </c>
      <c r="T228" s="1" t="s">
        <v>14</v>
      </c>
      <c r="U228" s="1" t="s">
        <v>41</v>
      </c>
      <c r="V228" s="1" t="s">
        <v>14</v>
      </c>
      <c r="W228" s="1" t="s">
        <v>75</v>
      </c>
      <c r="X228" s="1">
        <v>1.62</v>
      </c>
      <c r="Y228" s="1">
        <v>68</v>
      </c>
      <c r="Z228" s="3">
        <f t="shared" si="6"/>
        <v>25.910684346898332</v>
      </c>
      <c r="AA228" s="1">
        <v>101</v>
      </c>
      <c r="AB228" s="1">
        <v>112</v>
      </c>
      <c r="AC228" s="3">
        <f t="shared" si="7"/>
        <v>1.108910891089109</v>
      </c>
      <c r="AD228" t="s">
        <v>276</v>
      </c>
      <c r="AE228">
        <v>115</v>
      </c>
      <c r="AF228">
        <v>12</v>
      </c>
      <c r="AG228">
        <v>37</v>
      </c>
      <c r="AH228">
        <v>4.3</v>
      </c>
    </row>
    <row r="229" spans="1:34" x14ac:dyDescent="0.25">
      <c r="A229" s="1">
        <v>227</v>
      </c>
      <c r="B229" s="1">
        <v>51</v>
      </c>
      <c r="C229" s="1" t="s">
        <v>32</v>
      </c>
      <c r="D229" s="1" t="s">
        <v>54</v>
      </c>
      <c r="E229" s="1" t="s">
        <v>22</v>
      </c>
      <c r="F229" s="1" t="s">
        <v>38</v>
      </c>
      <c r="G229" s="1">
        <v>2000</v>
      </c>
      <c r="H229" s="1">
        <v>14</v>
      </c>
      <c r="I229" s="1">
        <v>4</v>
      </c>
      <c r="J229" s="1" t="s">
        <v>19</v>
      </c>
      <c r="K229" s="1" t="s">
        <v>29</v>
      </c>
      <c r="L229" s="1" t="s">
        <v>16</v>
      </c>
      <c r="M229" s="1" t="s">
        <v>29</v>
      </c>
      <c r="N229" s="1" t="s">
        <v>33</v>
      </c>
      <c r="O229" s="1" t="s">
        <v>29</v>
      </c>
      <c r="P229" s="1" t="s">
        <v>29</v>
      </c>
      <c r="Q229" s="1" t="s">
        <v>19</v>
      </c>
      <c r="R229" s="1" t="s">
        <v>29</v>
      </c>
      <c r="S229" s="1" t="s">
        <v>29</v>
      </c>
      <c r="T229" s="1" t="s">
        <v>14</v>
      </c>
      <c r="U229" s="1" t="s">
        <v>63</v>
      </c>
      <c r="V229" s="1" t="s">
        <v>19</v>
      </c>
      <c r="W229" s="1" t="s">
        <v>29</v>
      </c>
      <c r="X229" s="1">
        <v>1.6</v>
      </c>
      <c r="Y229" s="1">
        <v>44</v>
      </c>
      <c r="Z229" s="3">
        <f t="shared" si="6"/>
        <v>17.187499999999996</v>
      </c>
      <c r="AA229" s="1">
        <v>87</v>
      </c>
      <c r="AB229" s="1">
        <v>77</v>
      </c>
      <c r="AC229" s="3">
        <f t="shared" si="7"/>
        <v>0.88505747126436785</v>
      </c>
      <c r="AD229" t="s">
        <v>190</v>
      </c>
      <c r="AE229">
        <v>82</v>
      </c>
      <c r="AF229">
        <v>14</v>
      </c>
      <c r="AG229">
        <v>37.1</v>
      </c>
      <c r="AH229">
        <v>24.6</v>
      </c>
    </row>
    <row r="230" spans="1:34" x14ac:dyDescent="0.25">
      <c r="A230" s="1">
        <v>228</v>
      </c>
      <c r="B230" s="1">
        <v>70</v>
      </c>
      <c r="C230" s="1" t="s">
        <v>32</v>
      </c>
      <c r="D230" s="1" t="s">
        <v>21</v>
      </c>
      <c r="E230" s="1" t="s">
        <v>22</v>
      </c>
      <c r="F230" s="1" t="s">
        <v>38</v>
      </c>
      <c r="G230" s="1">
        <v>2006</v>
      </c>
      <c r="H230" s="1">
        <v>8</v>
      </c>
      <c r="I230" s="1">
        <v>4</v>
      </c>
      <c r="J230" s="1" t="s">
        <v>14</v>
      </c>
      <c r="K230" s="1" t="s">
        <v>15</v>
      </c>
      <c r="L230" s="1" t="s">
        <v>16</v>
      </c>
      <c r="M230" s="1" t="s">
        <v>17</v>
      </c>
      <c r="N230" s="1" t="s">
        <v>33</v>
      </c>
      <c r="O230" s="1" t="s">
        <v>29</v>
      </c>
      <c r="P230" s="1" t="s">
        <v>29</v>
      </c>
      <c r="Q230" s="1" t="s">
        <v>19</v>
      </c>
      <c r="R230" s="1" t="s">
        <v>29</v>
      </c>
      <c r="S230" s="1" t="s">
        <v>29</v>
      </c>
      <c r="T230" s="1" t="s">
        <v>19</v>
      </c>
      <c r="U230" s="1" t="s">
        <v>29</v>
      </c>
      <c r="V230" s="1" t="s">
        <v>14</v>
      </c>
      <c r="W230" s="1" t="s">
        <v>76</v>
      </c>
      <c r="X230" s="1">
        <v>1.65</v>
      </c>
      <c r="Y230" s="1">
        <v>80</v>
      </c>
      <c r="Z230" s="3">
        <f t="shared" si="6"/>
        <v>29.384756657483933</v>
      </c>
      <c r="AA230" s="1">
        <v>120</v>
      </c>
      <c r="AB230" s="1">
        <v>115</v>
      </c>
      <c r="AC230" s="3">
        <f t="shared" si="7"/>
        <v>0.95833333333333337</v>
      </c>
      <c r="AD230" t="s">
        <v>277</v>
      </c>
      <c r="AE230">
        <v>86</v>
      </c>
      <c r="AF230">
        <v>20</v>
      </c>
      <c r="AG230">
        <v>36.299999999999997</v>
      </c>
      <c r="AH230">
        <v>6.7</v>
      </c>
    </row>
    <row r="231" spans="1:34" x14ac:dyDescent="0.25">
      <c r="A231" s="1">
        <v>229</v>
      </c>
      <c r="B231" s="1">
        <v>80</v>
      </c>
      <c r="C231" s="1" t="s">
        <v>32</v>
      </c>
      <c r="D231" s="1" t="s">
        <v>42</v>
      </c>
      <c r="E231" s="1" t="s">
        <v>37</v>
      </c>
      <c r="F231" s="1" t="s">
        <v>43</v>
      </c>
      <c r="G231" s="1">
        <v>2007</v>
      </c>
      <c r="H231" s="1">
        <v>7</v>
      </c>
      <c r="I231" s="1">
        <v>3</v>
      </c>
      <c r="J231" s="1" t="s">
        <v>14</v>
      </c>
      <c r="K231" s="1" t="s">
        <v>15</v>
      </c>
      <c r="L231" s="1" t="s">
        <v>16</v>
      </c>
      <c r="M231" s="1" t="s">
        <v>17</v>
      </c>
      <c r="N231" s="1" t="s">
        <v>33</v>
      </c>
      <c r="O231" s="1" t="s">
        <v>29</v>
      </c>
      <c r="P231" s="1" t="s">
        <v>29</v>
      </c>
      <c r="Q231" s="1" t="s">
        <v>19</v>
      </c>
      <c r="R231" s="1" t="s">
        <v>29</v>
      </c>
      <c r="S231" s="1" t="s">
        <v>29</v>
      </c>
      <c r="T231" s="1" t="s">
        <v>14</v>
      </c>
      <c r="U231" s="1" t="s">
        <v>126</v>
      </c>
      <c r="V231" s="1" t="s">
        <v>19</v>
      </c>
      <c r="W231" s="1" t="s">
        <v>29</v>
      </c>
      <c r="X231" s="1">
        <v>1.44</v>
      </c>
      <c r="Y231" s="1">
        <v>47</v>
      </c>
      <c r="Z231" s="3">
        <f t="shared" si="6"/>
        <v>22.665895061728396</v>
      </c>
      <c r="AA231" s="1">
        <v>97</v>
      </c>
      <c r="AB231" s="1">
        <v>90</v>
      </c>
      <c r="AC231" s="3">
        <f t="shared" si="7"/>
        <v>0.92783505154639179</v>
      </c>
      <c r="AD231" t="s">
        <v>214</v>
      </c>
      <c r="AE231">
        <v>88</v>
      </c>
      <c r="AF231">
        <v>18</v>
      </c>
      <c r="AG231">
        <v>37.1</v>
      </c>
      <c r="AH231">
        <v>5.6</v>
      </c>
    </row>
    <row r="232" spans="1:34" x14ac:dyDescent="0.25">
      <c r="A232" s="1">
        <v>230</v>
      </c>
      <c r="B232" s="1">
        <v>78</v>
      </c>
      <c r="C232" s="1" t="s">
        <v>11</v>
      </c>
      <c r="D232" s="1" t="s">
        <v>21</v>
      </c>
      <c r="E232" s="1" t="s">
        <v>22</v>
      </c>
      <c r="F232" s="1" t="s">
        <v>23</v>
      </c>
      <c r="G232" s="1">
        <v>1992</v>
      </c>
      <c r="H232" s="1">
        <v>22</v>
      </c>
      <c r="I232" s="1">
        <v>4</v>
      </c>
      <c r="J232" s="1" t="s">
        <v>14</v>
      </c>
      <c r="K232" s="1" t="s">
        <v>15</v>
      </c>
      <c r="L232" s="1" t="s">
        <v>16</v>
      </c>
      <c r="M232" s="1" t="s">
        <v>29</v>
      </c>
      <c r="N232" s="1" t="s">
        <v>25</v>
      </c>
      <c r="O232" s="1" t="s">
        <v>26</v>
      </c>
      <c r="P232" s="1" t="s">
        <v>40</v>
      </c>
      <c r="Q232" s="1" t="s">
        <v>14</v>
      </c>
      <c r="R232" s="1" t="s">
        <v>27</v>
      </c>
      <c r="S232" s="4" t="s">
        <v>61</v>
      </c>
      <c r="T232" s="1" t="s">
        <v>19</v>
      </c>
      <c r="U232" s="1" t="s">
        <v>29</v>
      </c>
      <c r="V232" s="1" t="s">
        <v>19</v>
      </c>
      <c r="W232" s="1" t="s">
        <v>29</v>
      </c>
      <c r="X232" s="1">
        <v>1.7</v>
      </c>
      <c r="Y232" s="1">
        <v>81</v>
      </c>
      <c r="Z232" s="3">
        <f t="shared" si="6"/>
        <v>28.027681660899656</v>
      </c>
      <c r="AA232" s="1">
        <v>110</v>
      </c>
      <c r="AB232" s="1">
        <v>120</v>
      </c>
      <c r="AC232" s="3">
        <f t="shared" si="7"/>
        <v>1.0909090909090908</v>
      </c>
      <c r="AD232" t="s">
        <v>278</v>
      </c>
      <c r="AE232">
        <v>78</v>
      </c>
      <c r="AF232">
        <v>20</v>
      </c>
      <c r="AG232">
        <v>36.700000000000003</v>
      </c>
      <c r="AH232">
        <v>7.8</v>
      </c>
    </row>
    <row r="233" spans="1:34" x14ac:dyDescent="0.25">
      <c r="A233" s="1">
        <v>231</v>
      </c>
      <c r="B233" s="27">
        <v>66</v>
      </c>
      <c r="C233" s="27" t="s">
        <v>32</v>
      </c>
      <c r="D233" s="27" t="s">
        <v>21</v>
      </c>
      <c r="E233" s="27" t="s">
        <v>22</v>
      </c>
      <c r="F233" s="27" t="s">
        <v>23</v>
      </c>
      <c r="G233" s="27">
        <v>2002</v>
      </c>
      <c r="H233" s="27">
        <v>12</v>
      </c>
      <c r="I233" s="27">
        <v>4</v>
      </c>
      <c r="J233" s="27" t="s">
        <v>14</v>
      </c>
      <c r="K233" s="27" t="s">
        <v>15</v>
      </c>
      <c r="L233" s="27" t="s">
        <v>16</v>
      </c>
      <c r="M233" s="27" t="s">
        <v>29</v>
      </c>
      <c r="N233" s="27" t="s">
        <v>33</v>
      </c>
      <c r="O233" s="27" t="s">
        <v>29</v>
      </c>
      <c r="P233" s="27" t="s">
        <v>29</v>
      </c>
      <c r="Q233" s="27" t="s">
        <v>19</v>
      </c>
      <c r="R233" s="27" t="s">
        <v>29</v>
      </c>
      <c r="S233" s="27" t="s">
        <v>29</v>
      </c>
      <c r="T233" s="27" t="s">
        <v>19</v>
      </c>
      <c r="U233" s="27" t="s">
        <v>29</v>
      </c>
      <c r="V233" s="27" t="s">
        <v>19</v>
      </c>
      <c r="W233" s="27" t="s">
        <v>29</v>
      </c>
      <c r="X233" s="27">
        <v>1.65</v>
      </c>
      <c r="Y233" s="27">
        <v>69</v>
      </c>
      <c r="Z233" s="28">
        <f t="shared" si="6"/>
        <v>25.344352617079892</v>
      </c>
      <c r="AA233" s="27">
        <v>110</v>
      </c>
      <c r="AB233" s="27">
        <v>88</v>
      </c>
      <c r="AC233" s="28">
        <f t="shared" si="7"/>
        <v>0.8</v>
      </c>
      <c r="AD233" t="s">
        <v>193</v>
      </c>
      <c r="AE233">
        <v>92</v>
      </c>
      <c r="AF233">
        <v>14</v>
      </c>
      <c r="AG233">
        <v>36.700000000000003</v>
      </c>
      <c r="AH233">
        <v>12.4</v>
      </c>
    </row>
    <row r="234" spans="1:34" x14ac:dyDescent="0.25">
      <c r="A234" s="1">
        <v>232</v>
      </c>
      <c r="B234" s="1">
        <v>69</v>
      </c>
      <c r="C234" s="1" t="s">
        <v>11</v>
      </c>
      <c r="D234" s="1" t="s">
        <v>21</v>
      </c>
      <c r="E234" s="1" t="s">
        <v>36</v>
      </c>
      <c r="F234" s="1" t="s">
        <v>23</v>
      </c>
      <c r="G234" s="1">
        <v>2012</v>
      </c>
      <c r="H234" s="1">
        <v>2</v>
      </c>
      <c r="I234" s="1">
        <v>4</v>
      </c>
      <c r="J234" s="1" t="s">
        <v>14</v>
      </c>
      <c r="K234" s="1" t="s">
        <v>15</v>
      </c>
      <c r="L234" s="1" t="s">
        <v>16</v>
      </c>
      <c r="M234" s="1" t="s">
        <v>29</v>
      </c>
      <c r="N234" s="1" t="s">
        <v>25</v>
      </c>
      <c r="O234" s="1" t="s">
        <v>26</v>
      </c>
      <c r="P234" s="1" t="s">
        <v>40</v>
      </c>
      <c r="Q234" s="1" t="s">
        <v>14</v>
      </c>
      <c r="R234" s="1" t="s">
        <v>27</v>
      </c>
      <c r="S234" s="1" t="s">
        <v>27</v>
      </c>
      <c r="T234" s="1" t="s">
        <v>14</v>
      </c>
      <c r="U234" s="1" t="s">
        <v>59</v>
      </c>
      <c r="V234" s="1" t="s">
        <v>14</v>
      </c>
      <c r="W234" s="1" t="s">
        <v>59</v>
      </c>
      <c r="X234" s="1">
        <v>1.61</v>
      </c>
      <c r="Y234" s="1">
        <v>68</v>
      </c>
      <c r="Z234" s="3">
        <f t="shared" si="6"/>
        <v>26.23355580417422</v>
      </c>
      <c r="AA234" s="1">
        <v>96</v>
      </c>
      <c r="AB234" s="1">
        <v>98</v>
      </c>
      <c r="AC234" s="3">
        <f t="shared" si="7"/>
        <v>1.0208333333333333</v>
      </c>
      <c r="AD234" t="s">
        <v>214</v>
      </c>
      <c r="AE234">
        <v>106</v>
      </c>
      <c r="AF234">
        <v>14</v>
      </c>
      <c r="AG234">
        <v>36.9</v>
      </c>
      <c r="AH234">
        <v>6.2</v>
      </c>
    </row>
    <row r="235" spans="1:34" x14ac:dyDescent="0.25">
      <c r="A235" s="1">
        <v>233</v>
      </c>
      <c r="B235" s="1">
        <v>62</v>
      </c>
      <c r="C235" s="1" t="s">
        <v>11</v>
      </c>
      <c r="D235" s="1" t="s">
        <v>21</v>
      </c>
      <c r="E235" s="1" t="s">
        <v>22</v>
      </c>
      <c r="F235" s="1" t="s">
        <v>23</v>
      </c>
      <c r="G235" s="1">
        <v>2010</v>
      </c>
      <c r="H235" s="1">
        <v>4</v>
      </c>
      <c r="I235" s="1">
        <v>3</v>
      </c>
      <c r="J235" s="1" t="s">
        <v>14</v>
      </c>
      <c r="K235" s="1" t="s">
        <v>142</v>
      </c>
      <c r="L235" s="1" t="s">
        <v>16</v>
      </c>
      <c r="M235" s="1" t="s">
        <v>16</v>
      </c>
      <c r="N235" s="1" t="s">
        <v>25</v>
      </c>
      <c r="O235" s="1" t="s">
        <v>26</v>
      </c>
      <c r="P235" s="1" t="s">
        <v>40</v>
      </c>
      <c r="Q235" s="1" t="s">
        <v>14</v>
      </c>
      <c r="R235" s="1" t="s">
        <v>27</v>
      </c>
      <c r="S235" s="1" t="s">
        <v>27</v>
      </c>
      <c r="T235" s="1" t="s">
        <v>19</v>
      </c>
      <c r="U235" s="1" t="s">
        <v>29</v>
      </c>
      <c r="V235" s="1" t="s">
        <v>19</v>
      </c>
      <c r="W235" s="1" t="s">
        <v>29</v>
      </c>
      <c r="X235" s="1">
        <v>1.62</v>
      </c>
      <c r="Y235" s="1">
        <v>59</v>
      </c>
      <c r="Z235" s="3">
        <f t="shared" si="6"/>
        <v>22.481329065691202</v>
      </c>
      <c r="AA235" s="1">
        <v>90</v>
      </c>
      <c r="AB235" s="1">
        <v>93</v>
      </c>
      <c r="AC235" s="3">
        <f t="shared" si="7"/>
        <v>1.0333333333333334</v>
      </c>
      <c r="AD235" t="s">
        <v>279</v>
      </c>
      <c r="AE235">
        <v>100</v>
      </c>
      <c r="AF235">
        <v>12</v>
      </c>
      <c r="AG235">
        <v>37.200000000000003</v>
      </c>
      <c r="AH235">
        <v>6.3</v>
      </c>
    </row>
    <row r="236" spans="1:34" x14ac:dyDescent="0.25">
      <c r="A236" s="1">
        <v>234</v>
      </c>
      <c r="B236" s="1">
        <v>68</v>
      </c>
      <c r="C236" s="1" t="s">
        <v>32</v>
      </c>
      <c r="D236" s="1" t="s">
        <v>21</v>
      </c>
      <c r="E236" s="1" t="s">
        <v>22</v>
      </c>
      <c r="F236" s="1" t="s">
        <v>38</v>
      </c>
      <c r="G236" s="1">
        <v>2000</v>
      </c>
      <c r="H236" s="1">
        <v>14</v>
      </c>
      <c r="I236" s="1">
        <v>3</v>
      </c>
      <c r="J236" s="1" t="s">
        <v>19</v>
      </c>
      <c r="K236" s="1" t="s">
        <v>29</v>
      </c>
      <c r="L236" s="1" t="s">
        <v>16</v>
      </c>
      <c r="M236" s="1" t="s">
        <v>17</v>
      </c>
      <c r="N236" s="1" t="s">
        <v>33</v>
      </c>
      <c r="O236" s="1" t="s">
        <v>29</v>
      </c>
      <c r="P236" s="1" t="s">
        <v>29</v>
      </c>
      <c r="Q236" s="1" t="s">
        <v>14</v>
      </c>
      <c r="R236" s="4" t="s">
        <v>61</v>
      </c>
      <c r="S236" s="4" t="s">
        <v>61</v>
      </c>
      <c r="T236" s="1" t="s">
        <v>19</v>
      </c>
      <c r="U236" s="1" t="s">
        <v>29</v>
      </c>
      <c r="V236" s="1" t="s">
        <v>19</v>
      </c>
      <c r="W236" s="1" t="s">
        <v>29</v>
      </c>
      <c r="X236" s="1">
        <v>1.71</v>
      </c>
      <c r="Y236" s="1">
        <v>84</v>
      </c>
      <c r="Z236" s="3">
        <f t="shared" si="6"/>
        <v>28.726787729557817</v>
      </c>
      <c r="AA236" s="23">
        <v>108</v>
      </c>
      <c r="AB236" s="1">
        <v>102</v>
      </c>
      <c r="AC236" s="3">
        <f t="shared" si="7"/>
        <v>0.94444444444444442</v>
      </c>
      <c r="AD236" t="s">
        <v>280</v>
      </c>
      <c r="AE236">
        <v>92</v>
      </c>
      <c r="AF236">
        <v>18</v>
      </c>
      <c r="AG236">
        <v>36.799999999999997</v>
      </c>
      <c r="AH236">
        <v>11.4</v>
      </c>
    </row>
    <row r="237" spans="1:34" x14ac:dyDescent="0.25">
      <c r="A237" s="1">
        <v>235</v>
      </c>
      <c r="B237" s="1">
        <v>71</v>
      </c>
      <c r="C237" s="1" t="s">
        <v>11</v>
      </c>
      <c r="D237" s="1" t="s">
        <v>21</v>
      </c>
      <c r="E237" s="1" t="s">
        <v>22</v>
      </c>
      <c r="F237" s="1" t="s">
        <v>23</v>
      </c>
      <c r="G237" s="1">
        <v>2000</v>
      </c>
      <c r="H237" s="1">
        <v>14</v>
      </c>
      <c r="I237" s="1">
        <v>3</v>
      </c>
      <c r="J237" s="1" t="s">
        <v>14</v>
      </c>
      <c r="K237" s="1" t="s">
        <v>145</v>
      </c>
      <c r="L237" s="1" t="s">
        <v>16</v>
      </c>
      <c r="M237" s="1" t="s">
        <v>29</v>
      </c>
      <c r="N237" s="1" t="s">
        <v>33</v>
      </c>
      <c r="O237" s="1" t="s">
        <v>29</v>
      </c>
      <c r="P237" s="1" t="s">
        <v>29</v>
      </c>
      <c r="Q237" s="1" t="s">
        <v>14</v>
      </c>
      <c r="R237" s="4" t="s">
        <v>58</v>
      </c>
      <c r="S237" s="1" t="s">
        <v>58</v>
      </c>
      <c r="T237" s="1" t="s">
        <v>14</v>
      </c>
      <c r="U237" s="1" t="s">
        <v>73</v>
      </c>
      <c r="V237" s="1" t="s">
        <v>19</v>
      </c>
      <c r="W237" s="1" t="s">
        <v>29</v>
      </c>
      <c r="X237" s="1">
        <v>1.7</v>
      </c>
      <c r="Y237" s="1">
        <v>57</v>
      </c>
      <c r="Z237" s="3">
        <f t="shared" si="6"/>
        <v>19.723183391003463</v>
      </c>
      <c r="AA237" s="1">
        <v>92</v>
      </c>
      <c r="AB237" s="1">
        <v>100</v>
      </c>
      <c r="AC237" s="3">
        <f t="shared" si="7"/>
        <v>1.0869565217391304</v>
      </c>
      <c r="AD237" t="s">
        <v>281</v>
      </c>
      <c r="AE237">
        <v>104</v>
      </c>
      <c r="AF237">
        <v>20</v>
      </c>
      <c r="AG237">
        <v>36.5</v>
      </c>
      <c r="AH237">
        <v>19.3</v>
      </c>
    </row>
    <row r="238" spans="1:34" x14ac:dyDescent="0.25">
      <c r="A238" s="1">
        <v>236</v>
      </c>
      <c r="B238" s="1">
        <v>57</v>
      </c>
      <c r="C238" s="1" t="s">
        <v>32</v>
      </c>
      <c r="D238" s="1" t="s">
        <v>21</v>
      </c>
      <c r="E238" s="1" t="s">
        <v>22</v>
      </c>
      <c r="F238" s="1" t="s">
        <v>38</v>
      </c>
      <c r="G238" s="1">
        <v>2003</v>
      </c>
      <c r="H238" s="1">
        <v>11</v>
      </c>
      <c r="I238" s="1">
        <v>3</v>
      </c>
      <c r="J238" s="1" t="s">
        <v>19</v>
      </c>
      <c r="K238" s="1" t="s">
        <v>29</v>
      </c>
      <c r="L238" s="1" t="s">
        <v>16</v>
      </c>
      <c r="M238" s="1" t="s">
        <v>17</v>
      </c>
      <c r="N238" s="1" t="s">
        <v>33</v>
      </c>
      <c r="O238" s="1" t="s">
        <v>29</v>
      </c>
      <c r="P238" s="1" t="s">
        <v>29</v>
      </c>
      <c r="Q238" s="1" t="s">
        <v>19</v>
      </c>
      <c r="R238" s="1" t="s">
        <v>29</v>
      </c>
      <c r="S238" s="1" t="s">
        <v>29</v>
      </c>
      <c r="T238" s="1" t="s">
        <v>19</v>
      </c>
      <c r="U238" s="1" t="s">
        <v>29</v>
      </c>
      <c r="V238" s="1" t="s">
        <v>19</v>
      </c>
      <c r="W238" s="1" t="s">
        <v>29</v>
      </c>
      <c r="X238" s="1">
        <v>1.5</v>
      </c>
      <c r="Y238" s="1">
        <v>69</v>
      </c>
      <c r="Z238" s="3">
        <f t="shared" si="6"/>
        <v>30.666666666666668</v>
      </c>
      <c r="AA238" s="1">
        <v>120</v>
      </c>
      <c r="AB238" s="1">
        <v>115</v>
      </c>
      <c r="AC238" s="3">
        <f t="shared" si="7"/>
        <v>0.95833333333333337</v>
      </c>
      <c r="AD238" t="s">
        <v>282</v>
      </c>
      <c r="AE238">
        <v>64</v>
      </c>
      <c r="AF238">
        <v>16</v>
      </c>
      <c r="AG238">
        <v>37.200000000000003</v>
      </c>
      <c r="AH238">
        <v>6.5</v>
      </c>
    </row>
    <row r="239" spans="1:34" x14ac:dyDescent="0.25">
      <c r="A239" s="1">
        <v>237</v>
      </c>
      <c r="B239" s="1">
        <v>85</v>
      </c>
      <c r="C239" s="1" t="s">
        <v>11</v>
      </c>
      <c r="D239" s="1" t="s">
        <v>21</v>
      </c>
      <c r="E239" s="1" t="s">
        <v>22</v>
      </c>
      <c r="F239" s="1" t="s">
        <v>38</v>
      </c>
      <c r="G239" s="1">
        <v>2007</v>
      </c>
      <c r="H239" s="1">
        <v>7</v>
      </c>
      <c r="I239" s="1">
        <v>4</v>
      </c>
      <c r="J239" s="1" t="s">
        <v>14</v>
      </c>
      <c r="K239" s="1" t="s">
        <v>15</v>
      </c>
      <c r="L239" s="1" t="s">
        <v>16</v>
      </c>
      <c r="M239" s="1" t="s">
        <v>17</v>
      </c>
      <c r="N239" s="1" t="s">
        <v>25</v>
      </c>
      <c r="O239" s="1" t="s">
        <v>26</v>
      </c>
      <c r="P239" s="1" t="s">
        <v>40</v>
      </c>
      <c r="Q239" s="1" t="s">
        <v>14</v>
      </c>
      <c r="R239" s="1" t="s">
        <v>58</v>
      </c>
      <c r="S239" s="4" t="s">
        <v>61</v>
      </c>
      <c r="T239" s="1" t="s">
        <v>14</v>
      </c>
      <c r="U239" s="1" t="s">
        <v>75</v>
      </c>
      <c r="V239" s="1" t="s">
        <v>19</v>
      </c>
      <c r="W239" s="1" t="s">
        <v>29</v>
      </c>
      <c r="X239" s="1">
        <v>1.73</v>
      </c>
      <c r="Y239" s="1">
        <v>73</v>
      </c>
      <c r="Z239" s="3">
        <f t="shared" si="6"/>
        <v>24.391058839252899</v>
      </c>
      <c r="AA239" s="1">
        <v>96</v>
      </c>
      <c r="AB239" s="1">
        <v>105</v>
      </c>
      <c r="AC239" s="3">
        <f t="shared" si="7"/>
        <v>1.09375</v>
      </c>
      <c r="AD239" t="s">
        <v>283</v>
      </c>
      <c r="AE239">
        <v>58</v>
      </c>
      <c r="AF239">
        <v>14</v>
      </c>
      <c r="AG239">
        <v>36.799999999999997</v>
      </c>
      <c r="AH239">
        <v>5.4</v>
      </c>
    </row>
    <row r="240" spans="1:34" x14ac:dyDescent="0.25">
      <c r="A240" s="1">
        <v>238</v>
      </c>
      <c r="B240" s="1">
        <v>67</v>
      </c>
      <c r="C240" s="1" t="s">
        <v>32</v>
      </c>
      <c r="D240" s="1" t="s">
        <v>42</v>
      </c>
      <c r="E240" s="1" t="s">
        <v>22</v>
      </c>
      <c r="F240" s="1" t="s">
        <v>38</v>
      </c>
      <c r="G240" s="1">
        <v>2000</v>
      </c>
      <c r="H240" s="1">
        <v>14</v>
      </c>
      <c r="I240" s="1">
        <v>4</v>
      </c>
      <c r="J240" s="1" t="s">
        <v>14</v>
      </c>
      <c r="K240" s="1" t="s">
        <v>15</v>
      </c>
      <c r="L240" s="1" t="s">
        <v>16</v>
      </c>
      <c r="M240" s="1" t="s">
        <v>12</v>
      </c>
      <c r="N240" s="1" t="s">
        <v>33</v>
      </c>
      <c r="O240" s="1" t="s">
        <v>29</v>
      </c>
      <c r="P240" s="1" t="s">
        <v>29</v>
      </c>
      <c r="Q240" s="1" t="s">
        <v>19</v>
      </c>
      <c r="R240" s="1" t="s">
        <v>29</v>
      </c>
      <c r="S240" s="1" t="s">
        <v>29</v>
      </c>
      <c r="T240" s="1" t="s">
        <v>14</v>
      </c>
      <c r="U240" s="1" t="s">
        <v>53</v>
      </c>
      <c r="V240" s="1" t="s">
        <v>19</v>
      </c>
      <c r="W240" s="1" t="s">
        <v>29</v>
      </c>
      <c r="X240" s="1">
        <v>1.55</v>
      </c>
      <c r="Y240" s="1">
        <v>79</v>
      </c>
      <c r="Z240" s="3">
        <f t="shared" si="6"/>
        <v>32.882414151925076</v>
      </c>
      <c r="AA240" s="1">
        <v>120</v>
      </c>
      <c r="AB240" s="1">
        <v>115</v>
      </c>
      <c r="AC240" s="3">
        <f t="shared" si="7"/>
        <v>0.95833333333333337</v>
      </c>
      <c r="AD240" t="s">
        <v>284</v>
      </c>
      <c r="AE240">
        <v>120</v>
      </c>
      <c r="AF240">
        <v>12</v>
      </c>
      <c r="AG240">
        <v>37.299999999999997</v>
      </c>
    </row>
    <row r="241" spans="1:34" x14ac:dyDescent="0.25">
      <c r="A241" s="1">
        <v>239</v>
      </c>
      <c r="B241" s="1">
        <v>62</v>
      </c>
      <c r="C241" s="1" t="s">
        <v>32</v>
      </c>
      <c r="D241" s="1" t="s">
        <v>21</v>
      </c>
      <c r="E241" s="1" t="s">
        <v>22</v>
      </c>
      <c r="F241" s="1" t="s">
        <v>43</v>
      </c>
      <c r="G241" s="1">
        <v>2008</v>
      </c>
      <c r="H241" s="1">
        <v>6</v>
      </c>
      <c r="I241" s="1">
        <v>4</v>
      </c>
      <c r="J241" s="1" t="s">
        <v>19</v>
      </c>
      <c r="K241" s="1" t="s">
        <v>29</v>
      </c>
      <c r="L241" s="1" t="s">
        <v>16</v>
      </c>
      <c r="M241" s="1" t="s">
        <v>29</v>
      </c>
      <c r="N241" s="1" t="s">
        <v>33</v>
      </c>
      <c r="O241" s="1" t="s">
        <v>29</v>
      </c>
      <c r="P241" s="1" t="s">
        <v>29</v>
      </c>
      <c r="Q241" s="1" t="s">
        <v>19</v>
      </c>
      <c r="R241" s="1" t="s">
        <v>29</v>
      </c>
      <c r="S241" s="1" t="s">
        <v>29</v>
      </c>
      <c r="T241" s="1" t="s">
        <v>19</v>
      </c>
      <c r="U241" s="1" t="s">
        <v>29</v>
      </c>
      <c r="V241" s="1" t="s">
        <v>19</v>
      </c>
      <c r="W241" s="1" t="s">
        <v>29</v>
      </c>
      <c r="X241" s="1">
        <v>1.7</v>
      </c>
      <c r="Y241" s="1">
        <v>74</v>
      </c>
      <c r="Z241" s="3">
        <f t="shared" si="6"/>
        <v>25.605536332179934</v>
      </c>
      <c r="AA241" s="1">
        <v>115</v>
      </c>
      <c r="AB241" s="1">
        <v>95</v>
      </c>
      <c r="AC241" s="3">
        <f t="shared" si="7"/>
        <v>0.82608695652173914</v>
      </c>
      <c r="AD241" t="s">
        <v>178</v>
      </c>
      <c r="AE241">
        <v>88</v>
      </c>
      <c r="AF241">
        <v>16</v>
      </c>
      <c r="AG241">
        <v>37.200000000000003</v>
      </c>
      <c r="AH241">
        <v>9.1999999999999993</v>
      </c>
    </row>
    <row r="242" spans="1:34" x14ac:dyDescent="0.25">
      <c r="A242" s="1">
        <v>240</v>
      </c>
      <c r="B242" s="1">
        <v>75</v>
      </c>
      <c r="C242" s="1" t="s">
        <v>11</v>
      </c>
      <c r="D242" s="1" t="s">
        <v>21</v>
      </c>
      <c r="E242" s="1" t="s">
        <v>22</v>
      </c>
      <c r="F242" s="1" t="s">
        <v>23</v>
      </c>
      <c r="G242" s="1">
        <v>2000</v>
      </c>
      <c r="H242" s="1">
        <v>14</v>
      </c>
      <c r="I242" s="1">
        <v>4</v>
      </c>
      <c r="J242" s="1" t="s">
        <v>14</v>
      </c>
      <c r="K242" s="1" t="s">
        <v>15</v>
      </c>
      <c r="L242" s="1" t="s">
        <v>12</v>
      </c>
      <c r="M242" s="1" t="s">
        <v>17</v>
      </c>
      <c r="N242" s="1" t="s">
        <v>25</v>
      </c>
      <c r="O242" s="1" t="s">
        <v>26</v>
      </c>
      <c r="P242" s="1" t="s">
        <v>40</v>
      </c>
      <c r="Q242" s="1" t="s">
        <v>14</v>
      </c>
      <c r="R242" s="1" t="s">
        <v>27</v>
      </c>
      <c r="S242" s="1" t="s">
        <v>27</v>
      </c>
      <c r="T242" s="1" t="s">
        <v>19</v>
      </c>
      <c r="U242" s="1" t="s">
        <v>29</v>
      </c>
      <c r="V242" s="1" t="s">
        <v>19</v>
      </c>
      <c r="W242" s="1" t="s">
        <v>29</v>
      </c>
      <c r="X242" s="1">
        <v>1.61</v>
      </c>
      <c r="Y242" s="1">
        <v>73</v>
      </c>
      <c r="Z242" s="3">
        <f t="shared" si="6"/>
        <v>28.162493730951734</v>
      </c>
      <c r="AA242" s="1">
        <v>102</v>
      </c>
      <c r="AB242" s="1">
        <v>109</v>
      </c>
      <c r="AC242" s="3">
        <f t="shared" si="7"/>
        <v>1.0686274509803921</v>
      </c>
      <c r="AD242" t="s">
        <v>167</v>
      </c>
      <c r="AE242">
        <v>122</v>
      </c>
      <c r="AF242">
        <v>16</v>
      </c>
      <c r="AG242">
        <v>37.200000000000003</v>
      </c>
      <c r="AH242">
        <v>6.9</v>
      </c>
    </row>
    <row r="243" spans="1:34" x14ac:dyDescent="0.25">
      <c r="A243" s="1">
        <v>241</v>
      </c>
      <c r="B243" s="1">
        <v>55</v>
      </c>
      <c r="C243" s="1" t="s">
        <v>32</v>
      </c>
      <c r="D243" s="1" t="s">
        <v>35</v>
      </c>
      <c r="E243" s="1" t="s">
        <v>22</v>
      </c>
      <c r="F243" s="1" t="s">
        <v>50</v>
      </c>
      <c r="G243" s="1">
        <v>2008</v>
      </c>
      <c r="H243" s="1">
        <v>6</v>
      </c>
      <c r="I243" s="1">
        <v>4</v>
      </c>
      <c r="J243" s="1" t="s">
        <v>14</v>
      </c>
      <c r="K243" s="1" t="s">
        <v>146</v>
      </c>
      <c r="L243" s="1" t="s">
        <v>16</v>
      </c>
      <c r="M243" s="1" t="s">
        <v>17</v>
      </c>
      <c r="N243" s="1" t="s">
        <v>33</v>
      </c>
      <c r="O243" s="1" t="s">
        <v>29</v>
      </c>
      <c r="P243" s="1" t="s">
        <v>29</v>
      </c>
      <c r="Q243" s="1" t="s">
        <v>14</v>
      </c>
      <c r="R243" s="26" t="s">
        <v>58</v>
      </c>
      <c r="S243" s="26" t="s">
        <v>58</v>
      </c>
      <c r="T243" s="1" t="s">
        <v>19</v>
      </c>
      <c r="U243" s="1" t="s">
        <v>29</v>
      </c>
      <c r="V243" s="1" t="s">
        <v>14</v>
      </c>
      <c r="W243" s="1" t="s">
        <v>75</v>
      </c>
      <c r="X243" s="1">
        <v>1.55</v>
      </c>
      <c r="Y243" s="1">
        <v>75</v>
      </c>
      <c r="Z243" s="3">
        <f t="shared" si="6"/>
        <v>31.217481789802285</v>
      </c>
      <c r="AA243" s="1">
        <v>110</v>
      </c>
      <c r="AB243" s="1">
        <v>106</v>
      </c>
      <c r="AC243" s="3">
        <f t="shared" si="7"/>
        <v>0.96363636363636362</v>
      </c>
      <c r="AD243" t="s">
        <v>167</v>
      </c>
      <c r="AE243">
        <v>120</v>
      </c>
      <c r="AF243">
        <v>16</v>
      </c>
      <c r="AG243">
        <v>36.799999999999997</v>
      </c>
      <c r="AH243">
        <v>11.5</v>
      </c>
    </row>
    <row r="244" spans="1:34" x14ac:dyDescent="0.25">
      <c r="A244" s="1">
        <v>242</v>
      </c>
      <c r="B244" s="1">
        <v>81</v>
      </c>
      <c r="C244" s="1" t="s">
        <v>11</v>
      </c>
      <c r="D244" s="1" t="s">
        <v>21</v>
      </c>
      <c r="E244" s="1" t="s">
        <v>36</v>
      </c>
      <c r="F244" s="1" t="s">
        <v>38</v>
      </c>
      <c r="G244" s="1">
        <v>2010</v>
      </c>
      <c r="H244" s="1">
        <v>4</v>
      </c>
      <c r="I244" s="1">
        <v>4</v>
      </c>
      <c r="J244" s="1" t="s">
        <v>14</v>
      </c>
      <c r="K244" s="1" t="s">
        <v>15</v>
      </c>
      <c r="L244" s="1" t="s">
        <v>16</v>
      </c>
      <c r="M244" s="1" t="s">
        <v>29</v>
      </c>
      <c r="N244" s="1" t="s">
        <v>25</v>
      </c>
      <c r="O244" s="1" t="s">
        <v>26</v>
      </c>
      <c r="P244" s="1" t="s">
        <v>40</v>
      </c>
      <c r="Q244" s="1" t="s">
        <v>14</v>
      </c>
      <c r="R244" s="4" t="s">
        <v>61</v>
      </c>
      <c r="S244" s="1" t="s">
        <v>27</v>
      </c>
      <c r="T244" s="1" t="s">
        <v>14</v>
      </c>
      <c r="U244" s="1" t="s">
        <v>126</v>
      </c>
      <c r="V244" s="1" t="s">
        <v>19</v>
      </c>
      <c r="W244" s="1" t="s">
        <v>29</v>
      </c>
      <c r="X244" s="1">
        <v>1.68</v>
      </c>
      <c r="Y244" s="1">
        <v>87</v>
      </c>
      <c r="Z244" s="3">
        <f t="shared" si="6"/>
        <v>30.824829931972793</v>
      </c>
      <c r="AA244" s="1">
        <v>110</v>
      </c>
      <c r="AB244" s="1">
        <v>114</v>
      </c>
      <c r="AC244" s="3">
        <f t="shared" si="7"/>
        <v>1.0363636363636364</v>
      </c>
      <c r="AD244" t="s">
        <v>285</v>
      </c>
      <c r="AE244">
        <v>72</v>
      </c>
      <c r="AF244">
        <v>12</v>
      </c>
      <c r="AG244">
        <v>36.5</v>
      </c>
      <c r="AH244">
        <v>4.7</v>
      </c>
    </row>
    <row r="245" spans="1:34" x14ac:dyDescent="0.25">
      <c r="A245" s="1">
        <v>243</v>
      </c>
      <c r="B245" s="1">
        <v>64</v>
      </c>
      <c r="C245" s="1" t="s">
        <v>11</v>
      </c>
      <c r="D245" s="1" t="s">
        <v>21</v>
      </c>
      <c r="E245" s="1" t="s">
        <v>36</v>
      </c>
      <c r="F245" s="1" t="s">
        <v>38</v>
      </c>
      <c r="G245" s="1">
        <v>1996</v>
      </c>
      <c r="H245" s="1">
        <v>18</v>
      </c>
      <c r="I245" s="1">
        <v>6</v>
      </c>
      <c r="J245" s="1" t="s">
        <v>14</v>
      </c>
      <c r="K245" s="1" t="s">
        <v>15</v>
      </c>
      <c r="L245" s="1" t="s">
        <v>16</v>
      </c>
      <c r="M245" s="1" t="s">
        <v>17</v>
      </c>
      <c r="N245" s="1" t="s">
        <v>25</v>
      </c>
      <c r="O245" s="1" t="s">
        <v>26</v>
      </c>
      <c r="P245" s="1" t="s">
        <v>40</v>
      </c>
      <c r="Q245" s="1" t="s">
        <v>14</v>
      </c>
      <c r="R245" s="1" t="s">
        <v>27</v>
      </c>
      <c r="S245" s="1" t="s">
        <v>27</v>
      </c>
      <c r="T245" s="1" t="s">
        <v>19</v>
      </c>
      <c r="U245" s="1" t="s">
        <v>29</v>
      </c>
      <c r="V245" s="1" t="s">
        <v>19</v>
      </c>
      <c r="W245" s="1" t="s">
        <v>29</v>
      </c>
      <c r="X245" s="1">
        <v>1.75</v>
      </c>
      <c r="Y245" s="1">
        <v>74</v>
      </c>
      <c r="Z245" s="3">
        <f t="shared" si="6"/>
        <v>24.163265306122447</v>
      </c>
      <c r="AA245" s="1">
        <v>98</v>
      </c>
      <c r="AB245" s="1">
        <v>102</v>
      </c>
      <c r="AC245" s="3">
        <f t="shared" si="7"/>
        <v>1.0408163265306123</v>
      </c>
      <c r="AD245" t="s">
        <v>286</v>
      </c>
      <c r="AE245">
        <v>75</v>
      </c>
      <c r="AF245">
        <v>18</v>
      </c>
      <c r="AG245">
        <v>37.1</v>
      </c>
      <c r="AH245">
        <v>5.0999999999999996</v>
      </c>
    </row>
    <row r="246" spans="1:34" x14ac:dyDescent="0.25">
      <c r="A246" s="1">
        <v>244</v>
      </c>
      <c r="B246" s="1">
        <v>51</v>
      </c>
      <c r="C246" s="1" t="s">
        <v>32</v>
      </c>
      <c r="D246" s="1" t="s">
        <v>21</v>
      </c>
      <c r="E246" s="1" t="s">
        <v>22</v>
      </c>
      <c r="F246" s="1" t="s">
        <v>43</v>
      </c>
      <c r="G246" s="1">
        <v>2001</v>
      </c>
      <c r="H246" s="1">
        <v>13</v>
      </c>
      <c r="I246" s="1">
        <v>3</v>
      </c>
      <c r="J246" s="1" t="s">
        <v>14</v>
      </c>
      <c r="K246" s="1" t="s">
        <v>15</v>
      </c>
      <c r="L246" s="1" t="s">
        <v>129</v>
      </c>
      <c r="M246" s="1" t="s">
        <v>12</v>
      </c>
      <c r="N246" s="1" t="s">
        <v>33</v>
      </c>
      <c r="O246" s="1" t="s">
        <v>29</v>
      </c>
      <c r="P246" s="1" t="s">
        <v>29</v>
      </c>
      <c r="Q246" s="1" t="s">
        <v>19</v>
      </c>
      <c r="R246" s="1" t="s">
        <v>29</v>
      </c>
      <c r="S246" s="1" t="s">
        <v>29</v>
      </c>
      <c r="T246" s="1" t="s">
        <v>19</v>
      </c>
      <c r="U246" s="1" t="s">
        <v>29</v>
      </c>
      <c r="V246" s="1" t="s">
        <v>19</v>
      </c>
      <c r="W246" s="1" t="s">
        <v>29</v>
      </c>
      <c r="X246" s="1">
        <v>1.5</v>
      </c>
      <c r="Y246" s="1">
        <v>57</v>
      </c>
      <c r="Z246" s="3">
        <f t="shared" si="6"/>
        <v>25.333333333333332</v>
      </c>
      <c r="AA246" s="1">
        <v>102</v>
      </c>
      <c r="AB246" s="1">
        <v>98</v>
      </c>
      <c r="AC246" s="3">
        <f t="shared" si="7"/>
        <v>0.96078431372549022</v>
      </c>
      <c r="AD246" t="s">
        <v>287</v>
      </c>
      <c r="AE246">
        <v>116</v>
      </c>
      <c r="AF246">
        <v>14</v>
      </c>
      <c r="AG246">
        <v>36.9</v>
      </c>
      <c r="AH246">
        <v>12.5</v>
      </c>
    </row>
    <row r="247" spans="1:34" x14ac:dyDescent="0.25">
      <c r="A247" s="1">
        <v>245</v>
      </c>
      <c r="B247" s="1">
        <v>43</v>
      </c>
      <c r="C247" s="1" t="s">
        <v>32</v>
      </c>
      <c r="D247" s="1" t="s">
        <v>21</v>
      </c>
      <c r="E247" s="1" t="s">
        <v>22</v>
      </c>
      <c r="F247" s="1" t="s">
        <v>43</v>
      </c>
      <c r="G247" s="1">
        <v>2012</v>
      </c>
      <c r="H247" s="1">
        <v>2</v>
      </c>
      <c r="I247" s="1">
        <v>4</v>
      </c>
      <c r="J247" s="1" t="s">
        <v>19</v>
      </c>
      <c r="K247" s="1" t="s">
        <v>29</v>
      </c>
      <c r="L247" s="1" t="s">
        <v>18</v>
      </c>
      <c r="M247" s="1" t="s">
        <v>29</v>
      </c>
      <c r="N247" s="1" t="s">
        <v>33</v>
      </c>
      <c r="O247" s="1" t="s">
        <v>29</v>
      </c>
      <c r="P247" s="1" t="s">
        <v>29</v>
      </c>
      <c r="Q247" s="1" t="s">
        <v>19</v>
      </c>
      <c r="R247" s="1" t="s">
        <v>29</v>
      </c>
      <c r="S247" s="1" t="s">
        <v>29</v>
      </c>
      <c r="T247" s="1" t="s">
        <v>19</v>
      </c>
      <c r="U247" s="1" t="s">
        <v>29</v>
      </c>
      <c r="V247" s="1" t="s">
        <v>19</v>
      </c>
      <c r="W247" s="1" t="s">
        <v>29</v>
      </c>
      <c r="X247" s="1">
        <v>1.53</v>
      </c>
      <c r="Y247" s="1">
        <v>65</v>
      </c>
      <c r="Z247" s="3">
        <f t="shared" si="6"/>
        <v>27.767098124652911</v>
      </c>
      <c r="AA247" s="1">
        <v>100</v>
      </c>
      <c r="AB247" s="1">
        <v>93</v>
      </c>
      <c r="AC247" s="3">
        <f t="shared" si="7"/>
        <v>0.93</v>
      </c>
      <c r="AD247" t="s">
        <v>172</v>
      </c>
      <c r="AE247">
        <v>56</v>
      </c>
      <c r="AF247">
        <v>12</v>
      </c>
      <c r="AG247">
        <v>37</v>
      </c>
      <c r="AH247">
        <v>16.899999999999999</v>
      </c>
    </row>
    <row r="248" spans="1:34" x14ac:dyDescent="0.25">
      <c r="A248" s="1">
        <v>246</v>
      </c>
      <c r="B248" s="1">
        <v>61</v>
      </c>
      <c r="C248" s="1" t="s">
        <v>11</v>
      </c>
      <c r="D248" s="1" t="s">
        <v>21</v>
      </c>
      <c r="E248" s="1" t="s">
        <v>36</v>
      </c>
      <c r="F248" s="1" t="s">
        <v>38</v>
      </c>
      <c r="G248" s="1">
        <v>2008</v>
      </c>
      <c r="H248" s="1">
        <v>6</v>
      </c>
      <c r="I248" s="1">
        <v>4</v>
      </c>
      <c r="J248" s="1" t="s">
        <v>19</v>
      </c>
      <c r="K248" s="1" t="s">
        <v>29</v>
      </c>
      <c r="L248" s="1" t="s">
        <v>16</v>
      </c>
      <c r="M248" s="1" t="s">
        <v>17</v>
      </c>
      <c r="N248" s="1" t="s">
        <v>25</v>
      </c>
      <c r="O248" s="1" t="s">
        <v>26</v>
      </c>
      <c r="P248" s="1" t="s">
        <v>40</v>
      </c>
      <c r="Q248" s="1" t="s">
        <v>14</v>
      </c>
      <c r="R248" s="1" t="s">
        <v>27</v>
      </c>
      <c r="S248" s="1" t="s">
        <v>27</v>
      </c>
      <c r="T248" s="1" t="s">
        <v>19</v>
      </c>
      <c r="U248" s="1" t="s">
        <v>29</v>
      </c>
      <c r="V248" s="1" t="s">
        <v>19</v>
      </c>
      <c r="W248" s="1" t="s">
        <v>29</v>
      </c>
      <c r="X248" s="1">
        <v>1.58</v>
      </c>
      <c r="Y248" s="1">
        <v>60</v>
      </c>
      <c r="Z248" s="3">
        <f t="shared" si="6"/>
        <v>24.034609838166958</v>
      </c>
      <c r="AA248" s="1">
        <v>96</v>
      </c>
      <c r="AB248" s="1">
        <v>102</v>
      </c>
      <c r="AC248" s="3">
        <f t="shared" si="7"/>
        <v>1.0625</v>
      </c>
      <c r="AD248" t="s">
        <v>288</v>
      </c>
      <c r="AE248">
        <v>90</v>
      </c>
      <c r="AF248">
        <v>20</v>
      </c>
      <c r="AG248">
        <v>37.1</v>
      </c>
      <c r="AH248">
        <v>15</v>
      </c>
    </row>
    <row r="249" spans="1:34" x14ac:dyDescent="0.25">
      <c r="A249" s="1">
        <v>247</v>
      </c>
      <c r="B249" s="1">
        <v>66</v>
      </c>
      <c r="C249" s="1" t="s">
        <v>32</v>
      </c>
      <c r="D249" s="1" t="s">
        <v>21</v>
      </c>
      <c r="E249" s="1" t="s">
        <v>22</v>
      </c>
      <c r="F249" s="1" t="s">
        <v>43</v>
      </c>
      <c r="G249" s="1">
        <v>2005</v>
      </c>
      <c r="H249" s="1">
        <v>9</v>
      </c>
      <c r="I249" s="1">
        <v>3</v>
      </c>
      <c r="J249" s="1" t="s">
        <v>14</v>
      </c>
      <c r="K249" s="1" t="s">
        <v>15</v>
      </c>
      <c r="L249" s="1" t="s">
        <v>129</v>
      </c>
      <c r="M249" s="1" t="s">
        <v>17</v>
      </c>
      <c r="N249" s="1" t="s">
        <v>33</v>
      </c>
      <c r="O249" s="1" t="s">
        <v>29</v>
      </c>
      <c r="P249" s="1" t="s">
        <v>29</v>
      </c>
      <c r="Q249" s="1" t="s">
        <v>19</v>
      </c>
      <c r="R249" s="1" t="s">
        <v>29</v>
      </c>
      <c r="S249" s="1" t="s">
        <v>29</v>
      </c>
      <c r="T249" s="1" t="s">
        <v>14</v>
      </c>
      <c r="U249" s="1" t="s">
        <v>59</v>
      </c>
      <c r="V249" s="1" t="s">
        <v>19</v>
      </c>
      <c r="W249" s="1" t="s">
        <v>29</v>
      </c>
      <c r="X249" s="1">
        <v>1.55</v>
      </c>
      <c r="Y249" s="1">
        <v>84</v>
      </c>
      <c r="Z249" s="3">
        <f t="shared" si="6"/>
        <v>34.963579604578563</v>
      </c>
      <c r="AA249" s="1">
        <v>125</v>
      </c>
      <c r="AB249" s="1">
        <v>104</v>
      </c>
      <c r="AC249" s="3">
        <f t="shared" si="7"/>
        <v>0.83199999999999996</v>
      </c>
      <c r="AD249" t="s">
        <v>168</v>
      </c>
      <c r="AE249">
        <v>86</v>
      </c>
      <c r="AF249">
        <v>12</v>
      </c>
      <c r="AG249">
        <v>36.5</v>
      </c>
      <c r="AH249">
        <v>19.8</v>
      </c>
    </row>
    <row r="250" spans="1:34" x14ac:dyDescent="0.25">
      <c r="A250" s="1">
        <v>248</v>
      </c>
      <c r="B250" s="1">
        <v>38</v>
      </c>
      <c r="C250" s="1" t="s">
        <v>32</v>
      </c>
      <c r="D250" s="1" t="s">
        <v>21</v>
      </c>
      <c r="E250" s="1" t="s">
        <v>22</v>
      </c>
      <c r="F250" s="1" t="s">
        <v>38</v>
      </c>
      <c r="G250" s="1">
        <v>2014</v>
      </c>
      <c r="H250" s="1">
        <v>1</v>
      </c>
      <c r="I250" s="1">
        <v>4</v>
      </c>
      <c r="J250" s="1" t="s">
        <v>19</v>
      </c>
      <c r="K250" s="1" t="s">
        <v>29</v>
      </c>
      <c r="L250" s="1" t="s">
        <v>18</v>
      </c>
      <c r="M250" s="1" t="s">
        <v>29</v>
      </c>
      <c r="N250" s="1" t="s">
        <v>33</v>
      </c>
      <c r="O250" s="1" t="s">
        <v>29</v>
      </c>
      <c r="P250" s="1" t="s">
        <v>29</v>
      </c>
      <c r="Q250" s="1" t="s">
        <v>19</v>
      </c>
      <c r="R250" s="1" t="s">
        <v>29</v>
      </c>
      <c r="S250" s="1" t="s">
        <v>29</v>
      </c>
      <c r="T250" s="1" t="s">
        <v>19</v>
      </c>
      <c r="U250" s="1" t="s">
        <v>29</v>
      </c>
      <c r="V250" s="1" t="s">
        <v>19</v>
      </c>
      <c r="W250" s="1" t="s">
        <v>29</v>
      </c>
      <c r="X250" s="1">
        <v>1.6</v>
      </c>
      <c r="Y250" s="1">
        <v>62</v>
      </c>
      <c r="Z250" s="3">
        <f t="shared" si="6"/>
        <v>24.218749999999996</v>
      </c>
      <c r="AA250" s="1">
        <v>102</v>
      </c>
      <c r="AB250" s="1">
        <v>88</v>
      </c>
      <c r="AC250" s="3">
        <f t="shared" si="7"/>
        <v>0.86274509803921573</v>
      </c>
      <c r="AD250" t="s">
        <v>289</v>
      </c>
      <c r="AE250">
        <v>74</v>
      </c>
      <c r="AF250">
        <v>18</v>
      </c>
      <c r="AG250">
        <v>36.9</v>
      </c>
    </row>
    <row r="251" spans="1:34" x14ac:dyDescent="0.25">
      <c r="A251" s="1">
        <v>249</v>
      </c>
      <c r="B251" s="1">
        <v>45</v>
      </c>
      <c r="C251" s="1" t="s">
        <v>32</v>
      </c>
      <c r="D251" s="1" t="s">
        <v>21</v>
      </c>
      <c r="E251" s="1" t="s">
        <v>36</v>
      </c>
      <c r="F251" s="1" t="s">
        <v>43</v>
      </c>
      <c r="G251" s="1">
        <v>2013</v>
      </c>
      <c r="H251" s="1">
        <v>1</v>
      </c>
      <c r="I251" s="1">
        <v>4</v>
      </c>
      <c r="J251" s="1" t="s">
        <v>14</v>
      </c>
      <c r="K251" s="1" t="s">
        <v>15</v>
      </c>
      <c r="L251" s="1" t="s">
        <v>16</v>
      </c>
      <c r="M251" s="1" t="s">
        <v>17</v>
      </c>
      <c r="N251" s="1" t="s">
        <v>33</v>
      </c>
      <c r="O251" s="1" t="s">
        <v>29</v>
      </c>
      <c r="P251" s="1" t="s">
        <v>29</v>
      </c>
      <c r="Q251" s="1" t="s">
        <v>19</v>
      </c>
      <c r="R251" s="1" t="s">
        <v>29</v>
      </c>
      <c r="S251" s="1" t="s">
        <v>29</v>
      </c>
      <c r="T251" s="1" t="s">
        <v>14</v>
      </c>
      <c r="U251" s="1" t="s">
        <v>41</v>
      </c>
      <c r="V251" s="1" t="s">
        <v>14</v>
      </c>
      <c r="W251" s="1" t="s">
        <v>147</v>
      </c>
      <c r="X251" s="1">
        <v>1.55</v>
      </c>
      <c r="Y251" s="1">
        <v>69</v>
      </c>
      <c r="Z251" s="3">
        <f t="shared" si="6"/>
        <v>28.720083246618103</v>
      </c>
      <c r="AA251" s="1">
        <v>104</v>
      </c>
      <c r="AB251" s="1">
        <v>96</v>
      </c>
      <c r="AC251" s="3">
        <f t="shared" si="7"/>
        <v>0.92307692307692313</v>
      </c>
      <c r="AD251" t="s">
        <v>184</v>
      </c>
      <c r="AE251">
        <v>82</v>
      </c>
      <c r="AF251">
        <v>16</v>
      </c>
      <c r="AG251">
        <v>37.1</v>
      </c>
      <c r="AH251">
        <v>9.1999999999999993</v>
      </c>
    </row>
    <row r="252" spans="1:34" x14ac:dyDescent="0.25">
      <c r="A252" s="1">
        <v>250</v>
      </c>
      <c r="B252" s="1">
        <v>75</v>
      </c>
      <c r="C252" s="1" t="s">
        <v>32</v>
      </c>
      <c r="D252" s="1" t="s">
        <v>21</v>
      </c>
      <c r="E252" s="1" t="s">
        <v>22</v>
      </c>
      <c r="F252" s="1" t="s">
        <v>43</v>
      </c>
      <c r="G252" s="1">
        <v>1986</v>
      </c>
      <c r="H252" s="1">
        <v>28</v>
      </c>
      <c r="I252" s="1">
        <v>4</v>
      </c>
      <c r="J252" s="1" t="s">
        <v>14</v>
      </c>
      <c r="K252" s="1" t="s">
        <v>15</v>
      </c>
      <c r="L252" s="1" t="s">
        <v>18</v>
      </c>
      <c r="M252" s="1" t="s">
        <v>12</v>
      </c>
      <c r="N252" s="1" t="s">
        <v>33</v>
      </c>
      <c r="O252" s="1" t="s">
        <v>29</v>
      </c>
      <c r="P252" s="1" t="s">
        <v>29</v>
      </c>
      <c r="Q252" s="1" t="s">
        <v>19</v>
      </c>
      <c r="R252" s="1" t="s">
        <v>29</v>
      </c>
      <c r="S252" s="1" t="s">
        <v>29</v>
      </c>
      <c r="T252" s="1" t="s">
        <v>19</v>
      </c>
      <c r="U252" s="1" t="s">
        <v>29</v>
      </c>
      <c r="V252" s="1" t="s">
        <v>14</v>
      </c>
      <c r="W252" s="1" t="s">
        <v>53</v>
      </c>
      <c r="X252" s="1">
        <v>1.49</v>
      </c>
      <c r="Y252" s="1">
        <v>50</v>
      </c>
      <c r="Z252" s="3">
        <f t="shared" si="6"/>
        <v>22.521508040178372</v>
      </c>
      <c r="AA252" s="1">
        <v>93</v>
      </c>
      <c r="AB252" s="1">
        <v>84</v>
      </c>
      <c r="AC252" s="3">
        <f t="shared" si="7"/>
        <v>0.90322580645161288</v>
      </c>
      <c r="AD252" t="s">
        <v>290</v>
      </c>
      <c r="AE252">
        <v>62</v>
      </c>
      <c r="AF252">
        <v>12</v>
      </c>
      <c r="AG252">
        <v>37.1</v>
      </c>
      <c r="AH252">
        <v>9.8000000000000007</v>
      </c>
    </row>
    <row r="253" spans="1:34" x14ac:dyDescent="0.25">
      <c r="A253" s="1">
        <v>251</v>
      </c>
      <c r="B253" s="1">
        <v>80</v>
      </c>
      <c r="C253" s="1" t="s">
        <v>32</v>
      </c>
      <c r="D253" s="1" t="s">
        <v>42</v>
      </c>
      <c r="E253" s="1" t="s">
        <v>22</v>
      </c>
      <c r="F253" s="1" t="s">
        <v>43</v>
      </c>
      <c r="G253" s="1">
        <v>1990</v>
      </c>
      <c r="H253" s="1">
        <v>24</v>
      </c>
      <c r="I253" s="1">
        <v>6</v>
      </c>
      <c r="J253" s="1" t="s">
        <v>14</v>
      </c>
      <c r="K253" s="1" t="s">
        <v>15</v>
      </c>
      <c r="L253" s="1" t="s">
        <v>18</v>
      </c>
      <c r="M253" s="1" t="s">
        <v>17</v>
      </c>
      <c r="N253" s="1" t="s">
        <v>33</v>
      </c>
      <c r="O253" s="1" t="s">
        <v>29</v>
      </c>
      <c r="P253" s="1" t="s">
        <v>29</v>
      </c>
      <c r="Q253" s="1" t="s">
        <v>19</v>
      </c>
      <c r="R253" s="1" t="s">
        <v>29</v>
      </c>
      <c r="S253" s="1" t="s">
        <v>29</v>
      </c>
      <c r="T253" s="1" t="s">
        <v>14</v>
      </c>
      <c r="U253" s="1" t="s">
        <v>41</v>
      </c>
      <c r="V253" s="1" t="s">
        <v>14</v>
      </c>
      <c r="W253" s="1" t="s">
        <v>41</v>
      </c>
      <c r="X253" s="1">
        <v>1.42</v>
      </c>
      <c r="Y253" s="1">
        <v>64</v>
      </c>
      <c r="Z253" s="3">
        <f t="shared" si="6"/>
        <v>31.739734179726245</v>
      </c>
      <c r="AA253" s="1">
        <v>107</v>
      </c>
      <c r="AB253" s="1">
        <v>102</v>
      </c>
      <c r="AC253" s="3">
        <f t="shared" si="7"/>
        <v>0.95327102803738317</v>
      </c>
      <c r="AD253" t="s">
        <v>168</v>
      </c>
      <c r="AE253">
        <v>66</v>
      </c>
      <c r="AF253">
        <v>14</v>
      </c>
      <c r="AG253">
        <v>36.200000000000003</v>
      </c>
      <c r="AH253">
        <v>14.2</v>
      </c>
    </row>
    <row r="254" spans="1:34" x14ac:dyDescent="0.25">
      <c r="A254" s="1">
        <v>252</v>
      </c>
      <c r="B254" s="1">
        <v>67</v>
      </c>
      <c r="C254" s="1" t="s">
        <v>11</v>
      </c>
      <c r="D254" s="1" t="s">
        <v>21</v>
      </c>
      <c r="E254" s="1" t="s">
        <v>36</v>
      </c>
      <c r="F254" s="1" t="s">
        <v>38</v>
      </c>
      <c r="G254" s="1">
        <v>2012</v>
      </c>
      <c r="H254" s="1">
        <v>2</v>
      </c>
      <c r="I254" s="1">
        <v>4</v>
      </c>
      <c r="J254" s="1" t="s">
        <v>14</v>
      </c>
      <c r="K254" s="1" t="s">
        <v>15</v>
      </c>
      <c r="L254" s="1" t="s">
        <v>16</v>
      </c>
      <c r="M254" s="1" t="s">
        <v>16</v>
      </c>
      <c r="N254" s="1" t="s">
        <v>25</v>
      </c>
      <c r="O254" s="1" t="s">
        <v>26</v>
      </c>
      <c r="P254" s="1" t="s">
        <v>40</v>
      </c>
      <c r="Q254" s="1" t="s">
        <v>14</v>
      </c>
      <c r="R254" s="1" t="s">
        <v>27</v>
      </c>
      <c r="S254" s="1" t="s">
        <v>58</v>
      </c>
      <c r="T254" s="1" t="s">
        <v>19</v>
      </c>
      <c r="U254" s="1" t="s">
        <v>29</v>
      </c>
      <c r="V254" s="1" t="s">
        <v>14</v>
      </c>
      <c r="W254" s="1" t="s">
        <v>53</v>
      </c>
      <c r="X254" s="1">
        <v>1.72</v>
      </c>
      <c r="Y254" s="1">
        <v>67</v>
      </c>
      <c r="Z254" s="3">
        <f t="shared" si="6"/>
        <v>22.647376960519203</v>
      </c>
      <c r="AA254" s="1">
        <v>92</v>
      </c>
      <c r="AB254" s="1">
        <v>106</v>
      </c>
      <c r="AC254" s="3">
        <f t="shared" si="7"/>
        <v>1.1521739130434783</v>
      </c>
      <c r="AD254" t="s">
        <v>291</v>
      </c>
      <c r="AE254">
        <v>68</v>
      </c>
      <c r="AF254">
        <v>14</v>
      </c>
      <c r="AG254">
        <v>36.299999999999997</v>
      </c>
      <c r="AH254">
        <v>6.3</v>
      </c>
    </row>
    <row r="255" spans="1:34" x14ac:dyDescent="0.25">
      <c r="A255" s="1">
        <v>253</v>
      </c>
      <c r="B255" s="1">
        <v>80</v>
      </c>
      <c r="C255" s="1" t="s">
        <v>11</v>
      </c>
      <c r="D255" s="1" t="s">
        <v>21</v>
      </c>
      <c r="E255" s="1" t="s">
        <v>37</v>
      </c>
      <c r="F255" s="1" t="s">
        <v>23</v>
      </c>
      <c r="G255" s="1">
        <v>2013</v>
      </c>
      <c r="H255" s="1">
        <v>1</v>
      </c>
      <c r="I255" s="1">
        <v>3</v>
      </c>
      <c r="J255" s="1" t="s">
        <v>19</v>
      </c>
      <c r="K255" s="1" t="s">
        <v>29</v>
      </c>
      <c r="L255" s="1" t="s">
        <v>12</v>
      </c>
      <c r="M255" s="1" t="s">
        <v>29</v>
      </c>
      <c r="N255" s="1" t="s">
        <v>25</v>
      </c>
      <c r="O255" s="1" t="s">
        <v>26</v>
      </c>
      <c r="P255" s="1" t="s">
        <v>40</v>
      </c>
      <c r="Q255" s="1" t="s">
        <v>14</v>
      </c>
      <c r="R255" s="1" t="s">
        <v>27</v>
      </c>
      <c r="S255" s="4" t="s">
        <v>61</v>
      </c>
      <c r="T255" s="1" t="s">
        <v>19</v>
      </c>
      <c r="U255" s="1" t="s">
        <v>29</v>
      </c>
      <c r="V255" s="1" t="s">
        <v>19</v>
      </c>
      <c r="W255" s="1" t="s">
        <v>29</v>
      </c>
      <c r="X255" s="1">
        <v>1.6</v>
      </c>
      <c r="Y255" s="1">
        <v>88</v>
      </c>
      <c r="Z255" s="3">
        <f t="shared" si="6"/>
        <v>34.374999999999993</v>
      </c>
      <c r="AA255" s="1">
        <v>87</v>
      </c>
      <c r="AB255" s="1">
        <v>93</v>
      </c>
      <c r="AC255" s="3">
        <f t="shared" si="7"/>
        <v>1.0689655172413792</v>
      </c>
      <c r="AD255" t="s">
        <v>292</v>
      </c>
      <c r="AE255">
        <v>125</v>
      </c>
      <c r="AF255">
        <v>18</v>
      </c>
      <c r="AG255">
        <v>37.200000000000003</v>
      </c>
      <c r="AH255">
        <v>8.9</v>
      </c>
    </row>
    <row r="256" spans="1:34" x14ac:dyDescent="0.25">
      <c r="A256" s="1">
        <v>254</v>
      </c>
      <c r="B256" s="1">
        <v>51</v>
      </c>
      <c r="C256" s="1" t="s">
        <v>32</v>
      </c>
      <c r="D256" s="1" t="s">
        <v>21</v>
      </c>
      <c r="E256" s="1" t="s">
        <v>36</v>
      </c>
      <c r="F256" s="1" t="s">
        <v>43</v>
      </c>
      <c r="G256" s="1">
        <v>2009</v>
      </c>
      <c r="H256" s="1">
        <v>5</v>
      </c>
      <c r="I256" s="1">
        <v>4</v>
      </c>
      <c r="J256" s="1" t="s">
        <v>19</v>
      </c>
      <c r="K256" s="1" t="s">
        <v>29</v>
      </c>
      <c r="L256" s="1" t="s">
        <v>16</v>
      </c>
      <c r="M256" s="1" t="s">
        <v>29</v>
      </c>
      <c r="N256" s="1" t="s">
        <v>33</v>
      </c>
      <c r="O256" s="1" t="s">
        <v>29</v>
      </c>
      <c r="P256" s="1" t="s">
        <v>29</v>
      </c>
      <c r="Q256" s="1" t="s">
        <v>19</v>
      </c>
      <c r="R256" s="1" t="s">
        <v>29</v>
      </c>
      <c r="S256" s="1" t="s">
        <v>29</v>
      </c>
      <c r="T256" s="1" t="s">
        <v>14</v>
      </c>
      <c r="U256" s="1" t="s">
        <v>59</v>
      </c>
      <c r="V256" s="1" t="s">
        <v>19</v>
      </c>
      <c r="W256" s="1" t="s">
        <v>29</v>
      </c>
      <c r="X256" s="1">
        <v>1.63</v>
      </c>
      <c r="Y256" s="1">
        <v>57</v>
      </c>
      <c r="Z256" s="3">
        <f t="shared" si="6"/>
        <v>21.453573713726524</v>
      </c>
      <c r="AA256" s="1">
        <v>91</v>
      </c>
      <c r="AB256" s="1">
        <v>80</v>
      </c>
      <c r="AC256" s="3">
        <f t="shared" si="7"/>
        <v>0.87912087912087911</v>
      </c>
      <c r="AD256" t="s">
        <v>171</v>
      </c>
      <c r="AE256">
        <v>72</v>
      </c>
      <c r="AF256">
        <v>16</v>
      </c>
      <c r="AG256">
        <v>37.1</v>
      </c>
      <c r="AH256">
        <v>9.1999999999999993</v>
      </c>
    </row>
    <row r="257" spans="1:34" x14ac:dyDescent="0.25">
      <c r="A257" s="1">
        <v>255</v>
      </c>
      <c r="B257" s="1">
        <v>60</v>
      </c>
      <c r="C257" s="1" t="s">
        <v>32</v>
      </c>
      <c r="D257" s="1" t="s">
        <v>21</v>
      </c>
      <c r="E257" s="1" t="s">
        <v>22</v>
      </c>
      <c r="F257" s="1" t="s">
        <v>38</v>
      </c>
      <c r="G257" s="1">
        <v>2007</v>
      </c>
      <c r="H257" s="1">
        <v>7</v>
      </c>
      <c r="I257" s="1">
        <v>4</v>
      </c>
      <c r="J257" s="1" t="s">
        <v>14</v>
      </c>
      <c r="K257" s="1" t="s">
        <v>15</v>
      </c>
      <c r="L257" s="1" t="s">
        <v>16</v>
      </c>
      <c r="M257" s="1" t="s">
        <v>12</v>
      </c>
      <c r="N257" s="1" t="s">
        <v>33</v>
      </c>
      <c r="O257" s="1" t="s">
        <v>29</v>
      </c>
      <c r="P257" s="1" t="s">
        <v>29</v>
      </c>
      <c r="Q257" s="1" t="s">
        <v>19</v>
      </c>
      <c r="R257" s="1" t="s">
        <v>29</v>
      </c>
      <c r="S257" s="1" t="s">
        <v>29</v>
      </c>
      <c r="T257" s="1" t="s">
        <v>14</v>
      </c>
      <c r="U257" s="1" t="s">
        <v>148</v>
      </c>
      <c r="V257" s="1" t="s">
        <v>14</v>
      </c>
      <c r="W257" s="1" t="s">
        <v>53</v>
      </c>
      <c r="X257" s="1">
        <v>1.7</v>
      </c>
      <c r="Y257" s="1">
        <v>69</v>
      </c>
      <c r="Z257" s="3">
        <f t="shared" si="6"/>
        <v>23.87543252595156</v>
      </c>
      <c r="AA257" s="1">
        <v>110</v>
      </c>
      <c r="AB257" s="1">
        <v>100</v>
      </c>
      <c r="AC257" s="3">
        <f t="shared" si="7"/>
        <v>0.90909090909090906</v>
      </c>
      <c r="AD257" t="s">
        <v>183</v>
      </c>
      <c r="AE257">
        <v>82</v>
      </c>
      <c r="AF257">
        <v>20</v>
      </c>
      <c r="AG257">
        <v>37.200000000000003</v>
      </c>
      <c r="AH257">
        <v>6.8</v>
      </c>
    </row>
    <row r="258" spans="1:34" x14ac:dyDescent="0.25">
      <c r="A258" s="1">
        <v>256</v>
      </c>
      <c r="B258" s="1">
        <v>70</v>
      </c>
      <c r="C258" s="1" t="s">
        <v>32</v>
      </c>
      <c r="D258" s="1" t="s">
        <v>42</v>
      </c>
      <c r="E258" s="1" t="s">
        <v>22</v>
      </c>
      <c r="F258" s="1" t="s">
        <v>43</v>
      </c>
      <c r="G258" s="1">
        <v>2011</v>
      </c>
      <c r="H258" s="1">
        <v>3</v>
      </c>
      <c r="I258" s="1">
        <v>4</v>
      </c>
      <c r="J258" s="1" t="s">
        <v>14</v>
      </c>
      <c r="K258" s="1" t="s">
        <v>15</v>
      </c>
      <c r="L258" s="1" t="s">
        <v>16</v>
      </c>
      <c r="M258" s="1" t="s">
        <v>29</v>
      </c>
      <c r="N258" s="1" t="s">
        <v>33</v>
      </c>
      <c r="O258" s="1" t="s">
        <v>29</v>
      </c>
      <c r="P258" s="1" t="s">
        <v>29</v>
      </c>
      <c r="Q258" s="1" t="s">
        <v>19</v>
      </c>
      <c r="R258" s="1" t="s">
        <v>29</v>
      </c>
      <c r="S258" s="1" t="s">
        <v>29</v>
      </c>
      <c r="T258" s="1" t="s">
        <v>19</v>
      </c>
      <c r="U258" s="1" t="s">
        <v>29</v>
      </c>
      <c r="V258" s="1" t="s">
        <v>19</v>
      </c>
      <c r="W258" s="1" t="s">
        <v>29</v>
      </c>
      <c r="X258" s="1">
        <v>1.5</v>
      </c>
      <c r="Y258" s="1">
        <v>55</v>
      </c>
      <c r="Z258" s="3">
        <f t="shared" si="6"/>
        <v>24.444444444444443</v>
      </c>
      <c r="AA258" s="1">
        <v>96</v>
      </c>
      <c r="AB258" s="1">
        <v>86</v>
      </c>
      <c r="AC258" s="3">
        <f t="shared" si="7"/>
        <v>0.89583333333333337</v>
      </c>
      <c r="AD258" t="s">
        <v>293</v>
      </c>
      <c r="AE258">
        <v>78</v>
      </c>
      <c r="AF258">
        <v>14</v>
      </c>
      <c r="AG258">
        <v>37.200000000000003</v>
      </c>
      <c r="AH258">
        <v>6.4</v>
      </c>
    </row>
    <row r="259" spans="1:34" x14ac:dyDescent="0.25">
      <c r="A259" s="1">
        <v>257</v>
      </c>
      <c r="B259" s="1">
        <v>63</v>
      </c>
      <c r="C259" s="1" t="s">
        <v>32</v>
      </c>
      <c r="D259" s="1" t="s">
        <v>21</v>
      </c>
      <c r="E259" s="1" t="s">
        <v>37</v>
      </c>
      <c r="F259" s="1" t="s">
        <v>43</v>
      </c>
      <c r="G259" s="1">
        <v>2003</v>
      </c>
      <c r="H259" s="1">
        <v>11</v>
      </c>
      <c r="I259" s="1">
        <v>4</v>
      </c>
      <c r="J259" s="1" t="s">
        <v>14</v>
      </c>
      <c r="K259" s="1" t="s">
        <v>15</v>
      </c>
      <c r="L259" s="1" t="s">
        <v>16</v>
      </c>
      <c r="M259" s="1" t="s">
        <v>29</v>
      </c>
      <c r="N259" s="1" t="s">
        <v>33</v>
      </c>
      <c r="O259" s="1" t="s">
        <v>29</v>
      </c>
      <c r="P259" s="1" t="s">
        <v>29</v>
      </c>
      <c r="Q259" s="1" t="s">
        <v>19</v>
      </c>
      <c r="R259" s="1" t="s">
        <v>29</v>
      </c>
      <c r="S259" s="1" t="s">
        <v>29</v>
      </c>
      <c r="T259" s="1" t="s">
        <v>19</v>
      </c>
      <c r="U259" s="1" t="s">
        <v>29</v>
      </c>
      <c r="V259" s="1" t="s">
        <v>19</v>
      </c>
      <c r="W259" s="1" t="s">
        <v>29</v>
      </c>
      <c r="X259" s="1">
        <v>1.6</v>
      </c>
      <c r="Y259" s="1">
        <v>63</v>
      </c>
      <c r="Z259" s="3">
        <f t="shared" si="6"/>
        <v>24.609374999999996</v>
      </c>
      <c r="AA259" s="1">
        <v>108</v>
      </c>
      <c r="AB259" s="1">
        <v>102</v>
      </c>
      <c r="AC259" s="3">
        <f t="shared" si="7"/>
        <v>0.94444444444444442</v>
      </c>
      <c r="AD259" t="s">
        <v>174</v>
      </c>
      <c r="AE259">
        <v>102</v>
      </c>
      <c r="AF259">
        <v>16</v>
      </c>
      <c r="AG259">
        <v>36.799999999999997</v>
      </c>
      <c r="AH259">
        <v>21.2</v>
      </c>
    </row>
    <row r="260" spans="1:34" x14ac:dyDescent="0.25">
      <c r="A260" s="1">
        <v>258</v>
      </c>
      <c r="B260" s="1">
        <v>53</v>
      </c>
      <c r="C260" s="1" t="s">
        <v>32</v>
      </c>
      <c r="D260" s="1" t="s">
        <v>42</v>
      </c>
      <c r="E260" s="1" t="s">
        <v>36</v>
      </c>
      <c r="F260" s="1" t="s">
        <v>23</v>
      </c>
      <c r="G260" s="1">
        <v>1999</v>
      </c>
      <c r="H260" s="1">
        <v>15</v>
      </c>
      <c r="I260" s="1">
        <v>4</v>
      </c>
      <c r="J260" s="1" t="s">
        <v>14</v>
      </c>
      <c r="K260" s="1" t="s">
        <v>15</v>
      </c>
      <c r="L260" s="1" t="s">
        <v>16</v>
      </c>
      <c r="M260" s="1" t="s">
        <v>17</v>
      </c>
      <c r="N260" s="1" t="s">
        <v>33</v>
      </c>
      <c r="O260" s="1" t="s">
        <v>29</v>
      </c>
      <c r="P260" s="1" t="s">
        <v>29</v>
      </c>
      <c r="Q260" s="1" t="s">
        <v>19</v>
      </c>
      <c r="R260" s="1" t="s">
        <v>29</v>
      </c>
      <c r="S260" s="1" t="s">
        <v>29</v>
      </c>
      <c r="T260" s="1" t="s">
        <v>14</v>
      </c>
      <c r="U260" s="1" t="s">
        <v>75</v>
      </c>
      <c r="V260" s="1" t="s">
        <v>14</v>
      </c>
      <c r="W260" s="1" t="s">
        <v>147</v>
      </c>
      <c r="X260" s="1">
        <v>1.51</v>
      </c>
      <c r="Y260" s="1">
        <v>95</v>
      </c>
      <c r="Z260" s="3">
        <f t="shared" ref="Z260:Z323" si="8">(Y260/(X260)^2)</f>
        <v>41.664839261435901</v>
      </c>
      <c r="AA260" s="1">
        <v>110</v>
      </c>
      <c r="AB260" s="1">
        <v>91</v>
      </c>
      <c r="AC260" s="3">
        <f t="shared" si="7"/>
        <v>0.82727272727272727</v>
      </c>
      <c r="AD260" t="s">
        <v>173</v>
      </c>
      <c r="AE260">
        <v>52</v>
      </c>
      <c r="AF260">
        <v>12</v>
      </c>
      <c r="AG260">
        <v>37.200000000000003</v>
      </c>
      <c r="AH260">
        <v>9.6999999999999993</v>
      </c>
    </row>
    <row r="261" spans="1:34" x14ac:dyDescent="0.25">
      <c r="A261" s="1">
        <v>259</v>
      </c>
      <c r="B261" s="1">
        <v>78</v>
      </c>
      <c r="C261" s="1" t="s">
        <v>11</v>
      </c>
      <c r="D261" s="1" t="s">
        <v>21</v>
      </c>
      <c r="E261" s="1" t="s">
        <v>22</v>
      </c>
      <c r="F261" s="1" t="s">
        <v>23</v>
      </c>
      <c r="G261" s="1">
        <v>1998</v>
      </c>
      <c r="H261" s="1">
        <v>16</v>
      </c>
      <c r="I261" s="1">
        <v>4</v>
      </c>
      <c r="J261" s="1" t="s">
        <v>19</v>
      </c>
      <c r="K261" s="1" t="s">
        <v>29</v>
      </c>
      <c r="L261" s="1" t="s">
        <v>16</v>
      </c>
      <c r="M261" s="1" t="s">
        <v>29</v>
      </c>
      <c r="N261" s="1" t="s">
        <v>25</v>
      </c>
      <c r="O261" s="1" t="s">
        <v>26</v>
      </c>
      <c r="P261" s="1" t="s">
        <v>40</v>
      </c>
      <c r="Q261" s="1" t="s">
        <v>14</v>
      </c>
      <c r="R261" s="1" t="s">
        <v>27</v>
      </c>
      <c r="S261" s="4" t="s">
        <v>61</v>
      </c>
      <c r="T261" s="1" t="s">
        <v>19</v>
      </c>
      <c r="U261" s="1" t="s">
        <v>29</v>
      </c>
      <c r="V261" s="1" t="s">
        <v>19</v>
      </c>
      <c r="W261" s="1" t="s">
        <v>29</v>
      </c>
      <c r="X261" s="1">
        <v>1.55</v>
      </c>
      <c r="Y261" s="1">
        <v>58</v>
      </c>
      <c r="Z261" s="3">
        <f t="shared" si="8"/>
        <v>24.141519250780433</v>
      </c>
      <c r="AA261" s="1">
        <v>94</v>
      </c>
      <c r="AB261" s="1">
        <v>100</v>
      </c>
      <c r="AC261" s="3">
        <f t="shared" ref="AC261:AC324" si="9">AB261/AA261</f>
        <v>1.0638297872340425</v>
      </c>
      <c r="AD261" t="s">
        <v>186</v>
      </c>
      <c r="AE261">
        <v>98</v>
      </c>
      <c r="AF261">
        <v>14</v>
      </c>
      <c r="AG261">
        <v>37.200000000000003</v>
      </c>
      <c r="AH261">
        <v>13.1</v>
      </c>
    </row>
    <row r="262" spans="1:34" x14ac:dyDescent="0.25">
      <c r="A262" s="1">
        <v>260</v>
      </c>
      <c r="B262" s="1">
        <v>55</v>
      </c>
      <c r="C262" s="1" t="s">
        <v>32</v>
      </c>
      <c r="D262" s="1" t="s">
        <v>21</v>
      </c>
      <c r="E262" s="1" t="s">
        <v>36</v>
      </c>
      <c r="F262" s="1" t="s">
        <v>50</v>
      </c>
      <c r="G262" s="1">
        <v>2007</v>
      </c>
      <c r="H262" s="1">
        <v>7</v>
      </c>
      <c r="I262" s="1">
        <v>4</v>
      </c>
      <c r="J262" s="1" t="s">
        <v>14</v>
      </c>
      <c r="K262" s="1" t="s">
        <v>15</v>
      </c>
      <c r="L262" s="1" t="s">
        <v>18</v>
      </c>
      <c r="M262" s="1" t="s">
        <v>17</v>
      </c>
      <c r="N262" s="1" t="s">
        <v>33</v>
      </c>
      <c r="O262" s="1" t="s">
        <v>29</v>
      </c>
      <c r="P262" s="1" t="s">
        <v>29</v>
      </c>
      <c r="Q262" s="1" t="s">
        <v>19</v>
      </c>
      <c r="R262" s="1" t="s">
        <v>29</v>
      </c>
      <c r="S262" s="1" t="s">
        <v>29</v>
      </c>
      <c r="T262" s="1" t="s">
        <v>14</v>
      </c>
      <c r="U262" s="1" t="s">
        <v>59</v>
      </c>
      <c r="V262" s="1" t="s">
        <v>14</v>
      </c>
      <c r="W262" s="1" t="s">
        <v>59</v>
      </c>
      <c r="X262" s="1">
        <v>1.5</v>
      </c>
      <c r="Y262" s="1">
        <v>74</v>
      </c>
      <c r="Z262" s="3">
        <f t="shared" si="8"/>
        <v>32.888888888888886</v>
      </c>
      <c r="AA262" s="1">
        <v>106</v>
      </c>
      <c r="AB262" s="1">
        <v>94</v>
      </c>
      <c r="AC262" s="3">
        <f t="shared" si="9"/>
        <v>0.8867924528301887</v>
      </c>
      <c r="AD262" t="s">
        <v>164</v>
      </c>
      <c r="AE262">
        <v>58</v>
      </c>
      <c r="AF262">
        <v>20</v>
      </c>
      <c r="AG262">
        <v>37.1</v>
      </c>
    </row>
    <row r="263" spans="1:34" x14ac:dyDescent="0.25">
      <c r="A263" s="1">
        <v>261</v>
      </c>
      <c r="B263" s="1">
        <v>70</v>
      </c>
      <c r="C263" s="1" t="s">
        <v>11</v>
      </c>
      <c r="D263" s="1" t="s">
        <v>21</v>
      </c>
      <c r="E263" s="1" t="s">
        <v>22</v>
      </c>
      <c r="F263" s="1" t="s">
        <v>23</v>
      </c>
      <c r="G263" s="1">
        <v>2010</v>
      </c>
      <c r="H263" s="1">
        <v>4</v>
      </c>
      <c r="I263" s="1">
        <v>4</v>
      </c>
      <c r="J263" s="1" t="s">
        <v>14</v>
      </c>
      <c r="K263" s="1" t="s">
        <v>15</v>
      </c>
      <c r="L263" s="1" t="s">
        <v>16</v>
      </c>
      <c r="M263" s="1" t="s">
        <v>29</v>
      </c>
      <c r="N263" s="1" t="s">
        <v>33</v>
      </c>
      <c r="O263" s="1" t="s">
        <v>29</v>
      </c>
      <c r="P263" s="1" t="s">
        <v>29</v>
      </c>
      <c r="Q263" s="1" t="s">
        <v>14</v>
      </c>
      <c r="R263" s="1" t="s">
        <v>58</v>
      </c>
      <c r="S263" s="29" t="s">
        <v>58</v>
      </c>
      <c r="T263" s="1" t="s">
        <v>19</v>
      </c>
      <c r="U263" s="1" t="s">
        <v>29</v>
      </c>
      <c r="V263" s="1" t="s">
        <v>19</v>
      </c>
      <c r="W263" s="1" t="s">
        <v>29</v>
      </c>
      <c r="X263" s="1">
        <v>1.74</v>
      </c>
      <c r="Y263" s="1">
        <v>70</v>
      </c>
      <c r="Z263" s="3">
        <f t="shared" si="8"/>
        <v>23.120623596247853</v>
      </c>
      <c r="AA263" s="1">
        <v>92</v>
      </c>
      <c r="AB263" s="1">
        <v>101</v>
      </c>
      <c r="AC263" s="3">
        <f t="shared" si="9"/>
        <v>1.0978260869565217</v>
      </c>
      <c r="AD263" t="s">
        <v>294</v>
      </c>
      <c r="AE263">
        <v>126</v>
      </c>
      <c r="AF263">
        <v>12</v>
      </c>
      <c r="AG263">
        <v>36.299999999999997</v>
      </c>
      <c r="AH263">
        <v>4</v>
      </c>
    </row>
    <row r="264" spans="1:34" x14ac:dyDescent="0.25">
      <c r="A264" s="1">
        <v>262</v>
      </c>
      <c r="B264" s="1">
        <v>69</v>
      </c>
      <c r="C264" s="1" t="s">
        <v>11</v>
      </c>
      <c r="D264" s="1" t="s">
        <v>21</v>
      </c>
      <c r="E264" s="1" t="s">
        <v>22</v>
      </c>
      <c r="F264" s="1" t="s">
        <v>38</v>
      </c>
      <c r="G264" s="1">
        <v>2004</v>
      </c>
      <c r="H264" s="1">
        <v>10</v>
      </c>
      <c r="I264" s="1">
        <v>4</v>
      </c>
      <c r="J264" s="1" t="s">
        <v>14</v>
      </c>
      <c r="K264" s="1" t="s">
        <v>15</v>
      </c>
      <c r="L264" s="1" t="s">
        <v>16</v>
      </c>
      <c r="M264" s="1" t="s">
        <v>17</v>
      </c>
      <c r="N264" s="1" t="s">
        <v>33</v>
      </c>
      <c r="O264" s="1" t="s">
        <v>29</v>
      </c>
      <c r="P264" s="1" t="s">
        <v>29</v>
      </c>
      <c r="Q264" s="1" t="s">
        <v>19</v>
      </c>
      <c r="R264" s="1" t="s">
        <v>29</v>
      </c>
      <c r="S264" s="1" t="s">
        <v>29</v>
      </c>
      <c r="T264" s="1" t="s">
        <v>14</v>
      </c>
      <c r="U264" s="1" t="s">
        <v>46</v>
      </c>
      <c r="V264" s="1" t="s">
        <v>19</v>
      </c>
      <c r="W264" s="1" t="s">
        <v>29</v>
      </c>
      <c r="X264" s="1">
        <v>1.6</v>
      </c>
      <c r="Y264" s="1">
        <v>80</v>
      </c>
      <c r="Z264" s="3">
        <f t="shared" si="8"/>
        <v>31.249999999999993</v>
      </c>
      <c r="AA264" s="1">
        <v>102</v>
      </c>
      <c r="AB264" s="1">
        <v>106</v>
      </c>
      <c r="AC264" s="3">
        <f t="shared" si="9"/>
        <v>1.0392156862745099</v>
      </c>
      <c r="AD264" t="s">
        <v>295</v>
      </c>
      <c r="AE264">
        <v>80</v>
      </c>
      <c r="AF264">
        <v>18</v>
      </c>
      <c r="AG264">
        <v>37</v>
      </c>
      <c r="AH264">
        <v>11.1</v>
      </c>
    </row>
    <row r="265" spans="1:34" x14ac:dyDescent="0.25">
      <c r="A265" s="1">
        <v>263</v>
      </c>
      <c r="B265" s="1">
        <v>34</v>
      </c>
      <c r="C265" s="1" t="s">
        <v>32</v>
      </c>
      <c r="D265" s="1" t="s">
        <v>21</v>
      </c>
      <c r="E265" s="1" t="s">
        <v>22</v>
      </c>
      <c r="F265" s="1" t="s">
        <v>50</v>
      </c>
      <c r="G265" s="1">
        <v>2012</v>
      </c>
      <c r="H265" s="1">
        <v>2</v>
      </c>
      <c r="I265" s="1">
        <v>4</v>
      </c>
      <c r="J265" s="1" t="s">
        <v>19</v>
      </c>
      <c r="K265" s="1" t="s">
        <v>29</v>
      </c>
      <c r="L265" s="1" t="s">
        <v>16</v>
      </c>
      <c r="M265" s="1" t="s">
        <v>29</v>
      </c>
      <c r="N265" s="1" t="s">
        <v>33</v>
      </c>
      <c r="O265" s="1" t="s">
        <v>29</v>
      </c>
      <c r="P265" s="1" t="s">
        <v>29</v>
      </c>
      <c r="Q265" s="1" t="s">
        <v>19</v>
      </c>
      <c r="R265" s="1" t="s">
        <v>29</v>
      </c>
      <c r="S265" s="1" t="s">
        <v>29</v>
      </c>
      <c r="T265" s="1" t="s">
        <v>14</v>
      </c>
      <c r="U265" s="1" t="s">
        <v>64</v>
      </c>
      <c r="V265" s="1" t="s">
        <v>19</v>
      </c>
      <c r="W265" s="1" t="s">
        <v>29</v>
      </c>
      <c r="X265" s="1">
        <v>1.65</v>
      </c>
      <c r="Y265" s="1">
        <v>61</v>
      </c>
      <c r="Z265" s="3">
        <f t="shared" si="8"/>
        <v>22.4058769513315</v>
      </c>
      <c r="AA265" s="1">
        <v>98</v>
      </c>
      <c r="AB265" s="1">
        <v>82</v>
      </c>
      <c r="AC265" s="3">
        <f t="shared" si="9"/>
        <v>0.83673469387755106</v>
      </c>
      <c r="AD265" t="s">
        <v>164</v>
      </c>
      <c r="AE265">
        <v>78</v>
      </c>
      <c r="AF265">
        <v>14</v>
      </c>
      <c r="AG265">
        <v>36.9</v>
      </c>
    </row>
    <row r="266" spans="1:34" x14ac:dyDescent="0.25">
      <c r="A266" s="1">
        <v>264</v>
      </c>
      <c r="B266" s="1">
        <v>51</v>
      </c>
      <c r="C266" s="1" t="s">
        <v>32</v>
      </c>
      <c r="D266" s="1" t="s">
        <v>35</v>
      </c>
      <c r="E266" s="1" t="s">
        <v>22</v>
      </c>
      <c r="F266" s="1" t="s">
        <v>43</v>
      </c>
      <c r="G266" s="1">
        <v>2010</v>
      </c>
      <c r="H266" s="1">
        <v>4</v>
      </c>
      <c r="I266" s="1">
        <v>12</v>
      </c>
      <c r="J266" s="1" t="s">
        <v>19</v>
      </c>
      <c r="K266" s="1" t="s">
        <v>29</v>
      </c>
      <c r="L266" s="1" t="s">
        <v>18</v>
      </c>
      <c r="M266" s="1" t="s">
        <v>17</v>
      </c>
      <c r="N266" s="1" t="s">
        <v>33</v>
      </c>
      <c r="O266" s="1" t="s">
        <v>29</v>
      </c>
      <c r="P266" s="1" t="s">
        <v>29</v>
      </c>
      <c r="Q266" s="1" t="s">
        <v>19</v>
      </c>
      <c r="R266" s="1" t="s">
        <v>29</v>
      </c>
      <c r="S266" s="1" t="s">
        <v>29</v>
      </c>
      <c r="T266" s="1" t="s">
        <v>19</v>
      </c>
      <c r="U266" s="1" t="s">
        <v>29</v>
      </c>
      <c r="V266" s="1" t="s">
        <v>19</v>
      </c>
      <c r="W266" s="1" t="s">
        <v>29</v>
      </c>
      <c r="X266" s="1">
        <v>1.55</v>
      </c>
      <c r="Y266" s="1">
        <v>58</v>
      </c>
      <c r="Z266" s="3">
        <f t="shared" si="8"/>
        <v>24.141519250780433</v>
      </c>
      <c r="AA266" s="1">
        <v>99</v>
      </c>
      <c r="AB266" s="1">
        <v>88</v>
      </c>
      <c r="AC266" s="3">
        <f t="shared" si="9"/>
        <v>0.88888888888888884</v>
      </c>
      <c r="AD266" t="s">
        <v>296</v>
      </c>
      <c r="AE266">
        <v>89</v>
      </c>
      <c r="AF266">
        <v>20</v>
      </c>
      <c r="AG266">
        <v>36.5</v>
      </c>
    </row>
    <row r="267" spans="1:34" x14ac:dyDescent="0.25">
      <c r="A267" s="1">
        <v>265</v>
      </c>
      <c r="B267" s="1">
        <v>64</v>
      </c>
      <c r="C267" s="1" t="s">
        <v>11</v>
      </c>
      <c r="D267" s="1" t="s">
        <v>21</v>
      </c>
      <c r="E267" s="1" t="s">
        <v>36</v>
      </c>
      <c r="F267" s="1" t="s">
        <v>23</v>
      </c>
      <c r="G267" s="1">
        <v>2009</v>
      </c>
      <c r="H267" s="1">
        <v>5</v>
      </c>
      <c r="I267" s="1">
        <v>4</v>
      </c>
      <c r="J267" s="1" t="s">
        <v>19</v>
      </c>
      <c r="K267" s="1" t="s">
        <v>29</v>
      </c>
      <c r="L267" s="1" t="s">
        <v>16</v>
      </c>
      <c r="M267" s="1" t="s">
        <v>17</v>
      </c>
      <c r="N267" s="1" t="s">
        <v>25</v>
      </c>
      <c r="O267" s="1" t="s">
        <v>26</v>
      </c>
      <c r="P267" s="1" t="s">
        <v>40</v>
      </c>
      <c r="Q267" s="1" t="s">
        <v>14</v>
      </c>
      <c r="R267" s="1" t="s">
        <v>27</v>
      </c>
      <c r="S267" s="4" t="s">
        <v>61</v>
      </c>
      <c r="T267" s="1" t="s">
        <v>19</v>
      </c>
      <c r="U267" s="1" t="s">
        <v>29</v>
      </c>
      <c r="V267" s="1" t="s">
        <v>19</v>
      </c>
      <c r="W267" s="1" t="s">
        <v>29</v>
      </c>
      <c r="X267" s="1">
        <v>1.65</v>
      </c>
      <c r="Y267" s="1">
        <v>67</v>
      </c>
      <c r="Z267" s="3">
        <f t="shared" si="8"/>
        <v>24.609733700642796</v>
      </c>
      <c r="AA267" s="1">
        <v>90</v>
      </c>
      <c r="AB267" s="1">
        <v>100</v>
      </c>
      <c r="AC267" s="3">
        <f t="shared" si="9"/>
        <v>1.1111111111111112</v>
      </c>
      <c r="AD267" t="s">
        <v>297</v>
      </c>
      <c r="AE267">
        <v>78</v>
      </c>
      <c r="AF267">
        <v>14</v>
      </c>
      <c r="AG267">
        <v>36.799999999999997</v>
      </c>
      <c r="AH267">
        <v>10.199999999999999</v>
      </c>
    </row>
    <row r="268" spans="1:34" x14ac:dyDescent="0.25">
      <c r="A268" s="1">
        <v>266</v>
      </c>
      <c r="B268" s="1">
        <v>28</v>
      </c>
      <c r="C268" s="1" t="s">
        <v>32</v>
      </c>
      <c r="D268" s="1" t="s">
        <v>21</v>
      </c>
      <c r="E268" s="1" t="s">
        <v>34</v>
      </c>
      <c r="F268" s="1" t="s">
        <v>50</v>
      </c>
      <c r="G268" s="1">
        <v>2014</v>
      </c>
      <c r="H268" s="1">
        <v>1</v>
      </c>
      <c r="I268" s="1">
        <v>4</v>
      </c>
      <c r="J268" s="1" t="s">
        <v>19</v>
      </c>
      <c r="K268" s="1" t="s">
        <v>29</v>
      </c>
      <c r="L268" s="1" t="s">
        <v>16</v>
      </c>
      <c r="M268" s="1" t="s">
        <v>17</v>
      </c>
      <c r="N268" s="1" t="s">
        <v>33</v>
      </c>
      <c r="O268" s="1" t="s">
        <v>29</v>
      </c>
      <c r="P268" s="1" t="s">
        <v>29</v>
      </c>
      <c r="Q268" s="1" t="s">
        <v>19</v>
      </c>
      <c r="R268" s="1" t="s">
        <v>29</v>
      </c>
      <c r="S268" s="1" t="s">
        <v>29</v>
      </c>
      <c r="T268" s="1" t="s">
        <v>19</v>
      </c>
      <c r="U268" s="1" t="s">
        <v>29</v>
      </c>
      <c r="V268" s="1" t="s">
        <v>19</v>
      </c>
      <c r="W268" s="1" t="s">
        <v>29</v>
      </c>
      <c r="X268" s="1">
        <v>1.6</v>
      </c>
      <c r="Y268" s="1">
        <v>84</v>
      </c>
      <c r="Z268" s="3">
        <f t="shared" si="8"/>
        <v>32.812499999999993</v>
      </c>
      <c r="AA268" s="1">
        <v>115</v>
      </c>
      <c r="AB268" s="1">
        <v>106</v>
      </c>
      <c r="AC268" s="3">
        <f t="shared" si="9"/>
        <v>0.92173913043478262</v>
      </c>
      <c r="AD268" t="s">
        <v>164</v>
      </c>
      <c r="AE268">
        <v>112</v>
      </c>
      <c r="AF268">
        <v>14</v>
      </c>
      <c r="AG268">
        <v>37</v>
      </c>
      <c r="AH268">
        <v>8.8000000000000007</v>
      </c>
    </row>
    <row r="269" spans="1:34" x14ac:dyDescent="0.25">
      <c r="A269" s="1">
        <v>267</v>
      </c>
      <c r="B269" s="1">
        <v>63</v>
      </c>
      <c r="C269" s="1" t="s">
        <v>11</v>
      </c>
      <c r="D269" s="1" t="s">
        <v>21</v>
      </c>
      <c r="E269" s="1" t="s">
        <v>22</v>
      </c>
      <c r="F269" s="1" t="s">
        <v>23</v>
      </c>
      <c r="G269" s="1">
        <v>2002</v>
      </c>
      <c r="H269" s="1">
        <v>12</v>
      </c>
      <c r="I269" s="1">
        <v>4</v>
      </c>
      <c r="J269" s="1" t="s">
        <v>14</v>
      </c>
      <c r="K269" s="1" t="s">
        <v>15</v>
      </c>
      <c r="L269" s="1" t="s">
        <v>18</v>
      </c>
      <c r="M269" s="1" t="s">
        <v>17</v>
      </c>
      <c r="N269" s="1" t="s">
        <v>33</v>
      </c>
      <c r="O269" s="1" t="s">
        <v>29</v>
      </c>
      <c r="P269" s="1" t="s">
        <v>29</v>
      </c>
      <c r="Q269" s="1" t="s">
        <v>14</v>
      </c>
      <c r="R269" s="1" t="s">
        <v>27</v>
      </c>
      <c r="S269" s="4" t="s">
        <v>61</v>
      </c>
      <c r="T269" s="1" t="s">
        <v>14</v>
      </c>
      <c r="U269" s="1" t="s">
        <v>140</v>
      </c>
      <c r="V269" s="1" t="s">
        <v>19</v>
      </c>
      <c r="W269" s="1" t="s">
        <v>29</v>
      </c>
      <c r="X269" s="1">
        <v>1.58</v>
      </c>
      <c r="Y269" s="1">
        <v>68</v>
      </c>
      <c r="Z269" s="3">
        <f t="shared" si="8"/>
        <v>27.239224483255885</v>
      </c>
      <c r="AA269" s="1">
        <v>97</v>
      </c>
      <c r="AB269" s="1">
        <v>102</v>
      </c>
      <c r="AC269" s="3">
        <f t="shared" si="9"/>
        <v>1.0515463917525774</v>
      </c>
      <c r="AD269" t="s">
        <v>298</v>
      </c>
      <c r="AE269">
        <v>140</v>
      </c>
      <c r="AF269">
        <v>20</v>
      </c>
      <c r="AG269">
        <v>37.299999999999997</v>
      </c>
      <c r="AH269">
        <v>8</v>
      </c>
    </row>
    <row r="270" spans="1:34" x14ac:dyDescent="0.25">
      <c r="A270" s="1">
        <v>268</v>
      </c>
      <c r="B270" s="1">
        <v>31</v>
      </c>
      <c r="C270" s="1" t="s">
        <v>32</v>
      </c>
      <c r="D270" s="1" t="s">
        <v>35</v>
      </c>
      <c r="E270" s="1" t="s">
        <v>22</v>
      </c>
      <c r="F270" s="1" t="s">
        <v>43</v>
      </c>
      <c r="G270" s="1">
        <v>2012</v>
      </c>
      <c r="H270" s="1">
        <v>2</v>
      </c>
      <c r="I270" s="1">
        <v>4</v>
      </c>
      <c r="J270" s="1" t="s">
        <v>19</v>
      </c>
      <c r="K270" s="1" t="s">
        <v>29</v>
      </c>
      <c r="L270" s="1" t="s">
        <v>18</v>
      </c>
      <c r="M270" s="1" t="s">
        <v>29</v>
      </c>
      <c r="N270" s="1" t="s">
        <v>33</v>
      </c>
      <c r="O270" s="1" t="s">
        <v>29</v>
      </c>
      <c r="P270" s="1" t="s">
        <v>29</v>
      </c>
      <c r="Q270" s="1" t="s">
        <v>19</v>
      </c>
      <c r="R270" s="1" t="s">
        <v>29</v>
      </c>
      <c r="S270" s="1" t="s">
        <v>29</v>
      </c>
      <c r="T270" s="1" t="s">
        <v>19</v>
      </c>
      <c r="U270" s="1" t="s">
        <v>29</v>
      </c>
      <c r="V270" s="1" t="s">
        <v>19</v>
      </c>
      <c r="W270" s="1" t="s">
        <v>29</v>
      </c>
      <c r="X270" s="1">
        <v>1.51</v>
      </c>
      <c r="Y270" s="1">
        <v>47</v>
      </c>
      <c r="Z270" s="3">
        <f t="shared" si="8"/>
        <v>20.613131003026183</v>
      </c>
      <c r="AA270" s="1">
        <v>89</v>
      </c>
      <c r="AB270" s="1">
        <v>70</v>
      </c>
      <c r="AC270" s="3">
        <f t="shared" si="9"/>
        <v>0.7865168539325843</v>
      </c>
      <c r="AD270" t="s">
        <v>299</v>
      </c>
      <c r="AE270">
        <v>54</v>
      </c>
      <c r="AF270">
        <v>16</v>
      </c>
      <c r="AG270">
        <v>37.200000000000003</v>
      </c>
      <c r="AH270">
        <v>6.2</v>
      </c>
    </row>
    <row r="271" spans="1:34" x14ac:dyDescent="0.25">
      <c r="A271" s="1">
        <v>269</v>
      </c>
      <c r="B271" s="1">
        <v>62</v>
      </c>
      <c r="C271" s="1" t="s">
        <v>11</v>
      </c>
      <c r="D271" s="1" t="s">
        <v>21</v>
      </c>
      <c r="E271" s="1" t="s">
        <v>22</v>
      </c>
      <c r="F271" s="1" t="s">
        <v>23</v>
      </c>
      <c r="G271" s="1">
        <v>2006</v>
      </c>
      <c r="H271" s="1">
        <v>8</v>
      </c>
      <c r="I271" s="1">
        <v>4</v>
      </c>
      <c r="J271" s="1" t="s">
        <v>19</v>
      </c>
      <c r="K271" s="1" t="s">
        <v>29</v>
      </c>
      <c r="L271" s="1" t="s">
        <v>16</v>
      </c>
      <c r="M271" s="1" t="s">
        <v>68</v>
      </c>
      <c r="N271" s="1" t="s">
        <v>25</v>
      </c>
      <c r="O271" s="1" t="s">
        <v>57</v>
      </c>
      <c r="P271" s="1" t="s">
        <v>28</v>
      </c>
      <c r="Q271" s="1" t="s">
        <v>14</v>
      </c>
      <c r="R271" s="29" t="s">
        <v>58</v>
      </c>
      <c r="S271" s="29" t="s">
        <v>58</v>
      </c>
      <c r="T271" s="1" t="s">
        <v>19</v>
      </c>
      <c r="U271" s="1" t="s">
        <v>29</v>
      </c>
      <c r="V271" s="1" t="s">
        <v>19</v>
      </c>
      <c r="W271" s="1" t="s">
        <v>29</v>
      </c>
      <c r="X271" s="1">
        <v>1.75</v>
      </c>
      <c r="Y271" s="1">
        <v>73</v>
      </c>
      <c r="Z271" s="3">
        <f t="shared" si="8"/>
        <v>23.836734693877553</v>
      </c>
      <c r="AA271" s="1">
        <v>86</v>
      </c>
      <c r="AB271" s="1">
        <v>100</v>
      </c>
      <c r="AC271" s="3">
        <f t="shared" si="9"/>
        <v>1.1627906976744187</v>
      </c>
      <c r="AD271" t="s">
        <v>300</v>
      </c>
      <c r="AE271">
        <v>90</v>
      </c>
      <c r="AF271">
        <v>12</v>
      </c>
      <c r="AG271">
        <v>36.6</v>
      </c>
      <c r="AH271">
        <v>15.1</v>
      </c>
    </row>
    <row r="272" spans="1:34" x14ac:dyDescent="0.25">
      <c r="A272" s="1">
        <v>270</v>
      </c>
      <c r="B272" s="1">
        <v>50</v>
      </c>
      <c r="C272" s="1" t="s">
        <v>32</v>
      </c>
      <c r="D272" s="1" t="s">
        <v>21</v>
      </c>
      <c r="E272" s="1" t="s">
        <v>22</v>
      </c>
      <c r="F272" s="1" t="s">
        <v>38</v>
      </c>
      <c r="G272" s="1">
        <v>1999</v>
      </c>
      <c r="H272" s="1">
        <v>15</v>
      </c>
      <c r="I272" s="1">
        <v>4</v>
      </c>
      <c r="J272" s="1" t="s">
        <v>14</v>
      </c>
      <c r="K272" s="1" t="s">
        <v>15</v>
      </c>
      <c r="L272" s="1" t="s">
        <v>16</v>
      </c>
      <c r="M272" s="1" t="s">
        <v>29</v>
      </c>
      <c r="N272" s="1" t="s">
        <v>33</v>
      </c>
      <c r="O272" s="1" t="s">
        <v>29</v>
      </c>
      <c r="P272" s="1" t="s">
        <v>29</v>
      </c>
      <c r="Q272" s="1" t="s">
        <v>19</v>
      </c>
      <c r="R272" s="1" t="s">
        <v>29</v>
      </c>
      <c r="S272" s="1" t="s">
        <v>29</v>
      </c>
      <c r="T272" s="1" t="s">
        <v>14</v>
      </c>
      <c r="U272" s="1" t="s">
        <v>41</v>
      </c>
      <c r="V272" s="1" t="s">
        <v>14</v>
      </c>
      <c r="W272" s="1" t="s">
        <v>75</v>
      </c>
      <c r="X272" s="1">
        <v>1.55</v>
      </c>
      <c r="Y272" s="1">
        <v>66</v>
      </c>
      <c r="Z272" s="3">
        <f t="shared" si="8"/>
        <v>27.471383975026011</v>
      </c>
      <c r="AA272" s="1">
        <v>108</v>
      </c>
      <c r="AB272" s="1">
        <v>96</v>
      </c>
      <c r="AC272" s="3">
        <f t="shared" si="9"/>
        <v>0.88888888888888884</v>
      </c>
      <c r="AD272" t="s">
        <v>164</v>
      </c>
      <c r="AE272">
        <v>60</v>
      </c>
      <c r="AF272">
        <v>14</v>
      </c>
      <c r="AG272">
        <v>37.1</v>
      </c>
      <c r="AH272">
        <v>4.8</v>
      </c>
    </row>
    <row r="273" spans="1:34" x14ac:dyDescent="0.25">
      <c r="A273" s="1">
        <v>271</v>
      </c>
      <c r="B273" s="1">
        <v>64</v>
      </c>
      <c r="C273" s="1" t="s">
        <v>11</v>
      </c>
      <c r="D273" s="1" t="s">
        <v>21</v>
      </c>
      <c r="E273" s="1" t="s">
        <v>22</v>
      </c>
      <c r="F273" s="1" t="s">
        <v>38</v>
      </c>
      <c r="G273" s="1">
        <v>1980</v>
      </c>
      <c r="H273" s="1">
        <v>34</v>
      </c>
      <c r="I273" s="1">
        <v>4</v>
      </c>
      <c r="J273" s="1" t="s">
        <v>14</v>
      </c>
      <c r="K273" s="1" t="s">
        <v>15</v>
      </c>
      <c r="L273" s="1" t="s">
        <v>18</v>
      </c>
      <c r="M273" s="1" t="s">
        <v>17</v>
      </c>
      <c r="N273" s="1" t="s">
        <v>25</v>
      </c>
      <c r="O273" s="1" t="s">
        <v>26</v>
      </c>
      <c r="P273" s="1" t="s">
        <v>40</v>
      </c>
      <c r="Q273" s="1" t="s">
        <v>14</v>
      </c>
      <c r="R273" s="1" t="s">
        <v>27</v>
      </c>
      <c r="S273" s="1" t="s">
        <v>149</v>
      </c>
      <c r="T273" s="1" t="s">
        <v>19</v>
      </c>
      <c r="U273" s="1" t="s">
        <v>29</v>
      </c>
      <c r="V273" s="1" t="s">
        <v>19</v>
      </c>
      <c r="W273" s="1" t="s">
        <v>29</v>
      </c>
      <c r="X273" s="1">
        <v>1.64</v>
      </c>
      <c r="Y273" s="1">
        <v>60</v>
      </c>
      <c r="Z273" s="3">
        <f t="shared" si="8"/>
        <v>22.308149910767405</v>
      </c>
      <c r="AA273" s="1">
        <v>80</v>
      </c>
      <c r="AB273" s="1">
        <v>90</v>
      </c>
      <c r="AC273" s="3">
        <f t="shared" si="9"/>
        <v>1.125</v>
      </c>
      <c r="AD273" t="s">
        <v>301</v>
      </c>
      <c r="AE273">
        <v>110</v>
      </c>
      <c r="AF273">
        <v>20</v>
      </c>
      <c r="AG273">
        <v>36.700000000000003</v>
      </c>
      <c r="AH273">
        <v>7.2</v>
      </c>
    </row>
    <row r="274" spans="1:34" x14ac:dyDescent="0.25">
      <c r="A274" s="1">
        <v>272</v>
      </c>
      <c r="B274" s="1">
        <v>51</v>
      </c>
      <c r="C274" s="1" t="s">
        <v>32</v>
      </c>
      <c r="D274" s="1" t="s">
        <v>21</v>
      </c>
      <c r="E274" s="1" t="s">
        <v>22</v>
      </c>
      <c r="F274" s="1" t="s">
        <v>43</v>
      </c>
      <c r="G274" s="1">
        <v>2013</v>
      </c>
      <c r="H274" s="1">
        <v>1</v>
      </c>
      <c r="I274" s="1">
        <v>4</v>
      </c>
      <c r="J274" s="1" t="s">
        <v>19</v>
      </c>
      <c r="K274" s="1" t="s">
        <v>29</v>
      </c>
      <c r="L274" s="1" t="s">
        <v>16</v>
      </c>
      <c r="M274" s="1" t="s">
        <v>29</v>
      </c>
      <c r="N274" s="1" t="s">
        <v>33</v>
      </c>
      <c r="O274" s="1" t="s">
        <v>29</v>
      </c>
      <c r="P274" s="1" t="s">
        <v>29</v>
      </c>
      <c r="Q274" s="1" t="s">
        <v>19</v>
      </c>
      <c r="R274" s="1" t="s">
        <v>29</v>
      </c>
      <c r="S274" s="1" t="s">
        <v>29</v>
      </c>
      <c r="T274" s="1" t="s">
        <v>19</v>
      </c>
      <c r="U274" s="1" t="s">
        <v>29</v>
      </c>
      <c r="V274" s="1" t="s">
        <v>19</v>
      </c>
      <c r="W274" s="1" t="s">
        <v>29</v>
      </c>
      <c r="X274" s="1">
        <v>1.47</v>
      </c>
      <c r="Y274" s="1">
        <v>62</v>
      </c>
      <c r="Z274" s="3">
        <f t="shared" si="8"/>
        <v>28.691748808366885</v>
      </c>
      <c r="AA274" s="1">
        <v>100</v>
      </c>
      <c r="AB274" s="1">
        <v>92</v>
      </c>
      <c r="AC274" s="3">
        <f t="shared" si="9"/>
        <v>0.92</v>
      </c>
      <c r="AD274" t="s">
        <v>302</v>
      </c>
      <c r="AE274">
        <v>80</v>
      </c>
      <c r="AF274">
        <v>14</v>
      </c>
      <c r="AG274">
        <v>37</v>
      </c>
      <c r="AH274">
        <v>5.2</v>
      </c>
    </row>
    <row r="275" spans="1:34" x14ac:dyDescent="0.25">
      <c r="A275" s="1">
        <v>273</v>
      </c>
      <c r="B275" s="1">
        <v>70</v>
      </c>
      <c r="C275" s="1" t="s">
        <v>32</v>
      </c>
      <c r="D275" s="1" t="s">
        <v>21</v>
      </c>
      <c r="E275" s="1" t="s">
        <v>22</v>
      </c>
      <c r="F275" s="1" t="s">
        <v>38</v>
      </c>
      <c r="G275" s="1">
        <v>2008</v>
      </c>
      <c r="H275" s="1">
        <v>6</v>
      </c>
      <c r="I275" s="1">
        <v>4</v>
      </c>
      <c r="J275" s="1" t="s">
        <v>19</v>
      </c>
      <c r="K275" s="1" t="s">
        <v>29</v>
      </c>
      <c r="L275" s="1" t="s">
        <v>16</v>
      </c>
      <c r="M275" s="1" t="s">
        <v>16</v>
      </c>
      <c r="N275" s="1" t="s">
        <v>33</v>
      </c>
      <c r="O275" s="1" t="s">
        <v>29</v>
      </c>
      <c r="P275" s="1" t="s">
        <v>29</v>
      </c>
      <c r="Q275" s="1" t="s">
        <v>19</v>
      </c>
      <c r="R275" s="1" t="s">
        <v>29</v>
      </c>
      <c r="S275" s="1" t="s">
        <v>29</v>
      </c>
      <c r="T275" s="1" t="s">
        <v>19</v>
      </c>
      <c r="U275" s="1" t="s">
        <v>29</v>
      </c>
      <c r="V275" s="1" t="s">
        <v>19</v>
      </c>
      <c r="W275" s="1" t="s">
        <v>29</v>
      </c>
      <c r="X275" s="1">
        <v>1.62</v>
      </c>
      <c r="Y275" s="1">
        <v>75</v>
      </c>
      <c r="Z275" s="3">
        <f t="shared" si="8"/>
        <v>28.577960676726104</v>
      </c>
      <c r="AA275" s="1">
        <v>110</v>
      </c>
      <c r="AB275" s="1">
        <v>94</v>
      </c>
      <c r="AC275" s="3">
        <f t="shared" si="9"/>
        <v>0.8545454545454545</v>
      </c>
      <c r="AD275" t="s">
        <v>303</v>
      </c>
      <c r="AE275">
        <v>68</v>
      </c>
      <c r="AF275">
        <v>16</v>
      </c>
      <c r="AG275">
        <v>37.1</v>
      </c>
      <c r="AH275">
        <v>6</v>
      </c>
    </row>
    <row r="276" spans="1:34" x14ac:dyDescent="0.25">
      <c r="A276" s="1">
        <v>274</v>
      </c>
      <c r="B276" s="1">
        <v>68</v>
      </c>
      <c r="C276" s="1" t="s">
        <v>32</v>
      </c>
      <c r="D276" s="1" t="s">
        <v>35</v>
      </c>
      <c r="E276" s="1" t="s">
        <v>37</v>
      </c>
      <c r="F276" s="1" t="s">
        <v>43</v>
      </c>
      <c r="G276" s="1">
        <v>2012</v>
      </c>
      <c r="H276" s="1">
        <v>2</v>
      </c>
      <c r="I276" s="1">
        <v>4</v>
      </c>
      <c r="J276" s="1" t="s">
        <v>14</v>
      </c>
      <c r="K276" s="1" t="s">
        <v>15</v>
      </c>
      <c r="L276" s="1" t="s">
        <v>16</v>
      </c>
      <c r="M276" s="1" t="s">
        <v>29</v>
      </c>
      <c r="N276" s="1" t="s">
        <v>33</v>
      </c>
      <c r="O276" s="1" t="s">
        <v>29</v>
      </c>
      <c r="P276" s="1" t="s">
        <v>29</v>
      </c>
      <c r="Q276" s="1" t="s">
        <v>19</v>
      </c>
      <c r="R276" s="1" t="s">
        <v>29</v>
      </c>
      <c r="S276" s="1" t="s">
        <v>29</v>
      </c>
      <c r="T276" s="1" t="s">
        <v>19</v>
      </c>
      <c r="U276" s="1" t="s">
        <v>29</v>
      </c>
      <c r="V276" s="1" t="s">
        <v>19</v>
      </c>
      <c r="W276" s="1" t="s">
        <v>29</v>
      </c>
      <c r="X276" s="1">
        <v>1.5</v>
      </c>
      <c r="Y276" s="1">
        <v>84</v>
      </c>
      <c r="Z276" s="3">
        <f t="shared" si="8"/>
        <v>37.333333333333336</v>
      </c>
      <c r="AA276" s="1">
        <v>130</v>
      </c>
      <c r="AB276" s="1">
        <v>114</v>
      </c>
      <c r="AC276" s="3">
        <f t="shared" si="9"/>
        <v>0.87692307692307692</v>
      </c>
      <c r="AD276" t="s">
        <v>178</v>
      </c>
      <c r="AE276">
        <v>76</v>
      </c>
      <c r="AF276">
        <v>12</v>
      </c>
      <c r="AG276">
        <v>36</v>
      </c>
      <c r="AH276">
        <v>10.1</v>
      </c>
    </row>
    <row r="277" spans="1:34" x14ac:dyDescent="0.25">
      <c r="A277" s="1">
        <v>275</v>
      </c>
      <c r="B277" s="1">
        <v>60</v>
      </c>
      <c r="C277" s="1" t="s">
        <v>62</v>
      </c>
      <c r="D277" s="1" t="s">
        <v>42</v>
      </c>
      <c r="E277" s="1" t="s">
        <v>34</v>
      </c>
      <c r="F277" s="1" t="s">
        <v>50</v>
      </c>
      <c r="G277" s="1">
        <v>1994</v>
      </c>
      <c r="H277" s="1">
        <v>20</v>
      </c>
      <c r="I277" s="1">
        <v>4</v>
      </c>
      <c r="J277" s="1" t="s">
        <v>19</v>
      </c>
      <c r="K277" s="1" t="s">
        <v>29</v>
      </c>
      <c r="L277" s="31" t="s">
        <v>16</v>
      </c>
      <c r="M277" s="31" t="s">
        <v>29</v>
      </c>
      <c r="N277" s="1" t="s">
        <v>33</v>
      </c>
      <c r="O277" s="1" t="s">
        <v>29</v>
      </c>
      <c r="P277" s="1" t="s">
        <v>29</v>
      </c>
      <c r="Q277" s="1" t="s">
        <v>19</v>
      </c>
      <c r="R277" s="1" t="s">
        <v>29</v>
      </c>
      <c r="S277" s="1" t="s">
        <v>29</v>
      </c>
      <c r="T277" s="1" t="s">
        <v>14</v>
      </c>
      <c r="U277" s="1" t="s">
        <v>150</v>
      </c>
      <c r="V277" s="1" t="s">
        <v>19</v>
      </c>
      <c r="W277" s="1" t="s">
        <v>29</v>
      </c>
      <c r="X277" s="1">
        <v>1.55</v>
      </c>
      <c r="Y277" s="1">
        <v>74</v>
      </c>
      <c r="Z277" s="3">
        <f t="shared" si="8"/>
        <v>30.801248699271589</v>
      </c>
      <c r="AA277" s="1">
        <v>110</v>
      </c>
      <c r="AB277" s="1">
        <v>104</v>
      </c>
      <c r="AC277" s="3">
        <f t="shared" si="9"/>
        <v>0.94545454545454544</v>
      </c>
      <c r="AD277" t="s">
        <v>214</v>
      </c>
      <c r="AE277">
        <v>86</v>
      </c>
      <c r="AF277">
        <v>14</v>
      </c>
      <c r="AG277">
        <v>36.4</v>
      </c>
      <c r="AH277">
        <v>12.7</v>
      </c>
    </row>
    <row r="278" spans="1:34" x14ac:dyDescent="0.25">
      <c r="A278" s="1">
        <v>276</v>
      </c>
      <c r="B278" s="1">
        <v>70</v>
      </c>
      <c r="C278" s="1" t="s">
        <v>32</v>
      </c>
      <c r="D278" s="1" t="s">
        <v>42</v>
      </c>
      <c r="E278" s="1" t="s">
        <v>37</v>
      </c>
      <c r="F278" s="1" t="s">
        <v>43</v>
      </c>
      <c r="G278" s="1">
        <v>2013</v>
      </c>
      <c r="H278" s="1">
        <v>1</v>
      </c>
      <c r="I278" s="1">
        <v>5</v>
      </c>
      <c r="J278" s="1" t="s">
        <v>19</v>
      </c>
      <c r="K278" s="1" t="s">
        <v>29</v>
      </c>
      <c r="L278" s="1" t="s">
        <v>16</v>
      </c>
      <c r="M278" s="1" t="s">
        <v>29</v>
      </c>
      <c r="N278" s="1" t="s">
        <v>33</v>
      </c>
      <c r="O278" s="1" t="s">
        <v>29</v>
      </c>
      <c r="P278" s="1" t="s">
        <v>29</v>
      </c>
      <c r="Q278" s="1" t="s">
        <v>19</v>
      </c>
      <c r="R278" s="1" t="s">
        <v>29</v>
      </c>
      <c r="S278" s="1" t="s">
        <v>29</v>
      </c>
      <c r="T278" s="1" t="s">
        <v>14</v>
      </c>
      <c r="U278" s="1" t="s">
        <v>76</v>
      </c>
      <c r="V278" s="1" t="s">
        <v>19</v>
      </c>
      <c r="W278" s="1" t="s">
        <v>29</v>
      </c>
      <c r="X278" s="1">
        <v>1.55</v>
      </c>
      <c r="Y278" s="1">
        <v>59</v>
      </c>
      <c r="Z278" s="3">
        <f t="shared" si="8"/>
        <v>24.557752341311129</v>
      </c>
      <c r="AA278" s="1">
        <v>100</v>
      </c>
      <c r="AB278" s="1">
        <v>92</v>
      </c>
      <c r="AC278" s="3">
        <f t="shared" si="9"/>
        <v>0.92</v>
      </c>
      <c r="AD278" t="s">
        <v>304</v>
      </c>
      <c r="AE278">
        <v>102</v>
      </c>
      <c r="AF278">
        <v>16</v>
      </c>
      <c r="AG278">
        <v>36.9</v>
      </c>
      <c r="AH278">
        <v>10.6</v>
      </c>
    </row>
    <row r="279" spans="1:34" x14ac:dyDescent="0.25">
      <c r="A279" s="1">
        <v>277</v>
      </c>
      <c r="B279" s="1">
        <v>52</v>
      </c>
      <c r="C279" s="1" t="s">
        <v>32</v>
      </c>
      <c r="D279" s="1" t="s">
        <v>42</v>
      </c>
      <c r="E279" s="1" t="s">
        <v>22</v>
      </c>
      <c r="F279" s="1" t="s">
        <v>38</v>
      </c>
      <c r="G279" s="1">
        <v>2010</v>
      </c>
      <c r="H279" s="1">
        <v>4</v>
      </c>
      <c r="I279" s="1">
        <v>4</v>
      </c>
      <c r="J279" s="1" t="s">
        <v>19</v>
      </c>
      <c r="K279" s="1" t="s">
        <v>29</v>
      </c>
      <c r="L279" s="1" t="s">
        <v>129</v>
      </c>
      <c r="M279" s="1" t="s">
        <v>29</v>
      </c>
      <c r="N279" s="1" t="s">
        <v>33</v>
      </c>
      <c r="O279" s="1" t="s">
        <v>29</v>
      </c>
      <c r="P279" s="1" t="s">
        <v>29</v>
      </c>
      <c r="Q279" s="1" t="s">
        <v>19</v>
      </c>
      <c r="R279" s="1" t="s">
        <v>29</v>
      </c>
      <c r="S279" s="1" t="s">
        <v>29</v>
      </c>
      <c r="T279" s="1" t="s">
        <v>19</v>
      </c>
      <c r="U279" s="1" t="s">
        <v>29</v>
      </c>
      <c r="V279" s="1" t="s">
        <v>14</v>
      </c>
      <c r="W279" s="1" t="s">
        <v>41</v>
      </c>
      <c r="X279" s="1">
        <v>1.48</v>
      </c>
      <c r="Y279" s="1">
        <v>63</v>
      </c>
      <c r="Z279" s="3">
        <f t="shared" si="8"/>
        <v>28.761869978086196</v>
      </c>
      <c r="AA279" s="1">
        <v>102</v>
      </c>
      <c r="AB279" s="1">
        <v>100</v>
      </c>
      <c r="AC279" s="3">
        <f t="shared" si="9"/>
        <v>0.98039215686274506</v>
      </c>
      <c r="AD279" t="s">
        <v>305</v>
      </c>
      <c r="AE279">
        <v>86</v>
      </c>
      <c r="AF279">
        <v>18</v>
      </c>
      <c r="AG279">
        <v>37</v>
      </c>
      <c r="AH279">
        <v>4.2</v>
      </c>
    </row>
    <row r="280" spans="1:34" x14ac:dyDescent="0.25">
      <c r="A280" s="1">
        <v>278</v>
      </c>
      <c r="B280" s="1">
        <v>40</v>
      </c>
      <c r="C280" s="1" t="s">
        <v>32</v>
      </c>
      <c r="D280" s="1" t="s">
        <v>21</v>
      </c>
      <c r="E280" s="1" t="s">
        <v>22</v>
      </c>
      <c r="F280" s="1" t="s">
        <v>38</v>
      </c>
      <c r="G280" s="1">
        <v>2013</v>
      </c>
      <c r="H280" s="1">
        <v>1</v>
      </c>
      <c r="I280" s="1">
        <v>4</v>
      </c>
      <c r="J280" s="1" t="s">
        <v>19</v>
      </c>
      <c r="K280" s="1" t="s">
        <v>29</v>
      </c>
      <c r="L280" s="1" t="s">
        <v>18</v>
      </c>
      <c r="M280" s="1" t="s">
        <v>29</v>
      </c>
      <c r="N280" s="1" t="s">
        <v>33</v>
      </c>
      <c r="O280" s="1" t="s">
        <v>29</v>
      </c>
      <c r="P280" s="1" t="s">
        <v>29</v>
      </c>
      <c r="Q280" s="1" t="s">
        <v>19</v>
      </c>
      <c r="R280" s="1" t="s">
        <v>29</v>
      </c>
      <c r="S280" s="1" t="s">
        <v>29</v>
      </c>
      <c r="T280" s="1" t="s">
        <v>19</v>
      </c>
      <c r="U280" s="1" t="s">
        <v>29</v>
      </c>
      <c r="V280" s="1" t="s">
        <v>19</v>
      </c>
      <c r="W280" s="1" t="s">
        <v>29</v>
      </c>
      <c r="X280" s="1">
        <v>1.62</v>
      </c>
      <c r="Y280" s="1">
        <v>91</v>
      </c>
      <c r="Z280" s="3">
        <f t="shared" si="8"/>
        <v>34.674592287761008</v>
      </c>
      <c r="AA280" s="1">
        <v>122</v>
      </c>
      <c r="AB280" s="1">
        <v>107</v>
      </c>
      <c r="AC280" s="3">
        <f t="shared" si="9"/>
        <v>0.87704918032786883</v>
      </c>
      <c r="AD280" t="s">
        <v>306</v>
      </c>
      <c r="AE280">
        <v>64</v>
      </c>
      <c r="AF280">
        <v>12</v>
      </c>
      <c r="AG280">
        <v>37.1</v>
      </c>
      <c r="AH280">
        <v>9.5</v>
      </c>
    </row>
    <row r="281" spans="1:34" x14ac:dyDescent="0.25">
      <c r="A281" s="1">
        <v>279</v>
      </c>
      <c r="B281" s="1">
        <v>64</v>
      </c>
      <c r="C281" s="1" t="s">
        <v>32</v>
      </c>
      <c r="D281" s="1" t="s">
        <v>21</v>
      </c>
      <c r="E281" s="1" t="s">
        <v>22</v>
      </c>
      <c r="F281" s="1" t="s">
        <v>38</v>
      </c>
      <c r="G281" s="1">
        <v>1998</v>
      </c>
      <c r="H281" s="1">
        <v>16</v>
      </c>
      <c r="I281" s="1">
        <v>4</v>
      </c>
      <c r="J281" s="1" t="s">
        <v>14</v>
      </c>
      <c r="K281" s="1" t="s">
        <v>15</v>
      </c>
      <c r="L281" s="1" t="s">
        <v>129</v>
      </c>
      <c r="M281" s="1" t="s">
        <v>29</v>
      </c>
      <c r="N281" s="1" t="s">
        <v>33</v>
      </c>
      <c r="O281" s="1" t="s">
        <v>29</v>
      </c>
      <c r="P281" s="1" t="s">
        <v>29</v>
      </c>
      <c r="Q281" s="1" t="s">
        <v>19</v>
      </c>
      <c r="R281" s="1" t="s">
        <v>29</v>
      </c>
      <c r="S281" s="1" t="s">
        <v>29</v>
      </c>
      <c r="T281" s="1" t="s">
        <v>14</v>
      </c>
      <c r="U281" s="1" t="s">
        <v>41</v>
      </c>
      <c r="V281" s="1" t="s">
        <v>14</v>
      </c>
      <c r="W281" s="1" t="s">
        <v>41</v>
      </c>
      <c r="X281" s="1">
        <v>1.5</v>
      </c>
      <c r="Y281" s="1">
        <v>80</v>
      </c>
      <c r="Z281" s="3">
        <f t="shared" si="8"/>
        <v>35.555555555555557</v>
      </c>
      <c r="AA281" s="1">
        <v>132</v>
      </c>
      <c r="AB281" s="1">
        <v>117</v>
      </c>
      <c r="AC281" s="3">
        <f t="shared" si="9"/>
        <v>0.88636363636363635</v>
      </c>
      <c r="AD281" t="s">
        <v>307</v>
      </c>
      <c r="AE281">
        <v>62</v>
      </c>
      <c r="AF281">
        <v>18</v>
      </c>
      <c r="AG281">
        <v>36.799999999999997</v>
      </c>
      <c r="AH281">
        <v>5.7</v>
      </c>
    </row>
    <row r="282" spans="1:34" x14ac:dyDescent="0.25">
      <c r="A282" s="1">
        <v>280</v>
      </c>
      <c r="B282" s="1">
        <v>69</v>
      </c>
      <c r="C282" s="1" t="s">
        <v>11</v>
      </c>
      <c r="D282" s="1" t="s">
        <v>21</v>
      </c>
      <c r="E282" s="1" t="s">
        <v>22</v>
      </c>
      <c r="F282" s="1" t="s">
        <v>23</v>
      </c>
      <c r="G282" s="1">
        <v>2013</v>
      </c>
      <c r="H282" s="1">
        <v>1</v>
      </c>
      <c r="I282" s="1">
        <v>4</v>
      </c>
      <c r="J282" s="1" t="s">
        <v>19</v>
      </c>
      <c r="K282" s="1" t="s">
        <v>29</v>
      </c>
      <c r="L282" s="1" t="s">
        <v>12</v>
      </c>
      <c r="M282" s="1" t="s">
        <v>29</v>
      </c>
      <c r="N282" s="1" t="s">
        <v>25</v>
      </c>
      <c r="O282" s="1" t="s">
        <v>57</v>
      </c>
      <c r="P282" s="1" t="s">
        <v>28</v>
      </c>
      <c r="Q282" s="1" t="s">
        <v>14</v>
      </c>
      <c r="R282" s="1" t="s">
        <v>58</v>
      </c>
      <c r="S282" s="1" t="s">
        <v>58</v>
      </c>
      <c r="T282" s="1" t="s">
        <v>14</v>
      </c>
      <c r="U282" s="1" t="s">
        <v>41</v>
      </c>
      <c r="V282" s="1" t="s">
        <v>14</v>
      </c>
      <c r="W282" s="1" t="s">
        <v>41</v>
      </c>
      <c r="X282" s="1">
        <v>1.56</v>
      </c>
      <c r="Y282" s="1">
        <v>67</v>
      </c>
      <c r="Z282" s="3">
        <f t="shared" si="8"/>
        <v>27.531229454306374</v>
      </c>
      <c r="AA282" s="1">
        <v>103</v>
      </c>
      <c r="AB282" s="1">
        <v>91</v>
      </c>
      <c r="AC282" s="3">
        <f t="shared" si="9"/>
        <v>0.88349514563106801</v>
      </c>
      <c r="AD282" t="s">
        <v>308</v>
      </c>
      <c r="AE282">
        <v>78</v>
      </c>
      <c r="AF282">
        <v>14</v>
      </c>
      <c r="AG282">
        <v>37.200000000000003</v>
      </c>
      <c r="AH282">
        <v>6.3</v>
      </c>
    </row>
    <row r="283" spans="1:34" x14ac:dyDescent="0.25">
      <c r="A283" s="1">
        <v>281</v>
      </c>
      <c r="B283" s="1">
        <v>66</v>
      </c>
      <c r="C283" s="1" t="s">
        <v>11</v>
      </c>
      <c r="D283" s="1" t="s">
        <v>21</v>
      </c>
      <c r="E283" s="1" t="s">
        <v>22</v>
      </c>
      <c r="F283" s="1" t="s">
        <v>38</v>
      </c>
      <c r="G283" s="1">
        <v>2014</v>
      </c>
      <c r="H283" s="1">
        <v>1</v>
      </c>
      <c r="I283" s="1">
        <v>4</v>
      </c>
      <c r="J283" s="1" t="s">
        <v>14</v>
      </c>
      <c r="K283" s="1" t="s">
        <v>15</v>
      </c>
      <c r="L283" s="1" t="s">
        <v>16</v>
      </c>
      <c r="M283" s="1" t="s">
        <v>12</v>
      </c>
      <c r="N283" s="1" t="s">
        <v>25</v>
      </c>
      <c r="O283" s="1" t="s">
        <v>26</v>
      </c>
      <c r="P283" s="1" t="s">
        <v>40</v>
      </c>
      <c r="Q283" s="1" t="s">
        <v>14</v>
      </c>
      <c r="R283" s="1" t="s">
        <v>58</v>
      </c>
      <c r="S283" s="1" t="s">
        <v>58</v>
      </c>
      <c r="T283" s="1" t="s">
        <v>14</v>
      </c>
      <c r="U283" s="1" t="s">
        <v>53</v>
      </c>
      <c r="V283" s="1" t="s">
        <v>19</v>
      </c>
      <c r="W283" s="1" t="s">
        <v>29</v>
      </c>
      <c r="X283" s="1">
        <v>1.7</v>
      </c>
      <c r="Y283" s="1">
        <v>80</v>
      </c>
      <c r="Z283" s="3">
        <f t="shared" si="8"/>
        <v>27.681660899653981</v>
      </c>
      <c r="AA283" s="1">
        <v>100</v>
      </c>
      <c r="AB283" s="1">
        <v>101</v>
      </c>
      <c r="AC283" s="3">
        <f t="shared" si="9"/>
        <v>1.01</v>
      </c>
      <c r="AD283" t="s">
        <v>309</v>
      </c>
      <c r="AE283">
        <v>76</v>
      </c>
      <c r="AF283">
        <v>20</v>
      </c>
      <c r="AG283">
        <v>36.9</v>
      </c>
      <c r="AH283">
        <v>6.7</v>
      </c>
    </row>
    <row r="284" spans="1:34" x14ac:dyDescent="0.25">
      <c r="A284" s="1">
        <v>282</v>
      </c>
      <c r="B284" s="1">
        <v>42</v>
      </c>
      <c r="C284" s="1" t="s">
        <v>11</v>
      </c>
      <c r="D284" s="1" t="s">
        <v>21</v>
      </c>
      <c r="E284" s="1" t="s">
        <v>34</v>
      </c>
      <c r="F284" s="1" t="s">
        <v>50</v>
      </c>
      <c r="G284" s="1">
        <v>2013</v>
      </c>
      <c r="H284" s="1">
        <v>1</v>
      </c>
      <c r="I284" s="1">
        <v>3</v>
      </c>
      <c r="J284" s="1" t="s">
        <v>19</v>
      </c>
      <c r="K284" s="1" t="s">
        <v>29</v>
      </c>
      <c r="L284" s="1" t="s">
        <v>16</v>
      </c>
      <c r="M284" s="1" t="s">
        <v>16</v>
      </c>
      <c r="N284" s="1" t="s">
        <v>33</v>
      </c>
      <c r="O284" s="1" t="s">
        <v>29</v>
      </c>
      <c r="P284" s="1" t="s">
        <v>29</v>
      </c>
      <c r="Q284" s="1" t="s">
        <v>19</v>
      </c>
      <c r="R284" s="1" t="s">
        <v>29</v>
      </c>
      <c r="S284" s="1" t="s">
        <v>29</v>
      </c>
      <c r="T284" s="1" t="s">
        <v>19</v>
      </c>
      <c r="U284" s="1" t="s">
        <v>29</v>
      </c>
      <c r="V284" s="1" t="s">
        <v>19</v>
      </c>
      <c r="W284" s="1" t="s">
        <v>29</v>
      </c>
      <c r="X284" s="1">
        <v>1.65</v>
      </c>
      <c r="Y284" s="1">
        <v>97</v>
      </c>
      <c r="Z284" s="3">
        <f t="shared" si="8"/>
        <v>35.629017447199267</v>
      </c>
      <c r="AA284" s="1">
        <v>119</v>
      </c>
      <c r="AB284" s="1">
        <v>134</v>
      </c>
      <c r="AC284" s="3">
        <f t="shared" si="9"/>
        <v>1.1260504201680672</v>
      </c>
      <c r="AD284" t="s">
        <v>310</v>
      </c>
      <c r="AE284">
        <v>82</v>
      </c>
      <c r="AF284">
        <v>12</v>
      </c>
      <c r="AG284">
        <v>37.1</v>
      </c>
      <c r="AH284">
        <v>14.3</v>
      </c>
    </row>
    <row r="285" spans="1:34" x14ac:dyDescent="0.25">
      <c r="A285" s="1">
        <v>283</v>
      </c>
      <c r="B285" s="1">
        <v>72</v>
      </c>
      <c r="C285" s="1" t="s">
        <v>32</v>
      </c>
      <c r="D285" s="1" t="s">
        <v>42</v>
      </c>
      <c r="E285" s="1" t="s">
        <v>22</v>
      </c>
      <c r="F285" s="1" t="s">
        <v>23</v>
      </c>
      <c r="G285" s="1">
        <v>2001</v>
      </c>
      <c r="H285" s="1">
        <v>13</v>
      </c>
      <c r="I285" s="1">
        <v>4</v>
      </c>
      <c r="J285" s="1" t="s">
        <v>14</v>
      </c>
      <c r="K285" s="1" t="s">
        <v>15</v>
      </c>
      <c r="L285" s="1" t="s">
        <v>16</v>
      </c>
      <c r="M285" s="1" t="s">
        <v>29</v>
      </c>
      <c r="N285" s="1" t="s">
        <v>33</v>
      </c>
      <c r="O285" s="1" t="s">
        <v>29</v>
      </c>
      <c r="P285" s="1" t="s">
        <v>29</v>
      </c>
      <c r="Q285" s="1" t="s">
        <v>19</v>
      </c>
      <c r="R285" s="1" t="s">
        <v>29</v>
      </c>
      <c r="S285" s="1" t="s">
        <v>29</v>
      </c>
      <c r="T285" s="1" t="s">
        <v>19</v>
      </c>
      <c r="U285" s="1" t="s">
        <v>29</v>
      </c>
      <c r="V285" s="1" t="s">
        <v>19</v>
      </c>
      <c r="W285" s="1" t="s">
        <v>29</v>
      </c>
      <c r="X285" s="1">
        <v>1.55</v>
      </c>
      <c r="Y285" s="1">
        <v>61.5</v>
      </c>
      <c r="Z285" s="3">
        <f t="shared" si="8"/>
        <v>25.598335067637873</v>
      </c>
      <c r="AA285" s="1">
        <v>100</v>
      </c>
      <c r="AB285" s="1">
        <v>91</v>
      </c>
      <c r="AC285" s="3">
        <f t="shared" si="9"/>
        <v>0.91</v>
      </c>
      <c r="AD285" t="s">
        <v>311</v>
      </c>
      <c r="AE285">
        <v>86</v>
      </c>
      <c r="AF285">
        <v>18</v>
      </c>
      <c r="AG285">
        <v>37</v>
      </c>
      <c r="AH285">
        <v>10.199999999999999</v>
      </c>
    </row>
    <row r="286" spans="1:34" x14ac:dyDescent="0.25">
      <c r="A286" s="1">
        <v>284</v>
      </c>
      <c r="B286" s="1">
        <v>77</v>
      </c>
      <c r="C286" s="1" t="s">
        <v>11</v>
      </c>
      <c r="D286" s="1" t="s">
        <v>21</v>
      </c>
      <c r="E286" s="1" t="s">
        <v>22</v>
      </c>
      <c r="F286" s="1" t="s">
        <v>38</v>
      </c>
      <c r="G286" s="1">
        <v>1977</v>
      </c>
      <c r="H286" s="1">
        <v>37</v>
      </c>
      <c r="I286" s="1">
        <v>4</v>
      </c>
      <c r="J286" s="1" t="s">
        <v>14</v>
      </c>
      <c r="K286" s="1" t="s">
        <v>15</v>
      </c>
      <c r="L286" s="1" t="s">
        <v>18</v>
      </c>
      <c r="M286" s="1" t="s">
        <v>16</v>
      </c>
      <c r="N286" s="1" t="s">
        <v>33</v>
      </c>
      <c r="O286" s="1" t="s">
        <v>29</v>
      </c>
      <c r="P286" s="1" t="s">
        <v>29</v>
      </c>
      <c r="Q286" s="1" t="s">
        <v>19</v>
      </c>
      <c r="R286" s="1" t="s">
        <v>29</v>
      </c>
      <c r="S286" s="1" t="s">
        <v>29</v>
      </c>
      <c r="T286" s="1" t="s">
        <v>14</v>
      </c>
      <c r="U286" s="1" t="s">
        <v>151</v>
      </c>
      <c r="V286" s="1" t="s">
        <v>19</v>
      </c>
      <c r="W286" s="1" t="s">
        <v>29</v>
      </c>
      <c r="X286" s="1">
        <v>1.73</v>
      </c>
      <c r="Y286" s="1">
        <v>59</v>
      </c>
      <c r="Z286" s="3">
        <f t="shared" si="8"/>
        <v>19.713321527615356</v>
      </c>
      <c r="AA286" s="1">
        <v>88</v>
      </c>
      <c r="AB286" s="1">
        <v>94</v>
      </c>
      <c r="AC286" s="3">
        <f t="shared" si="9"/>
        <v>1.0681818181818181</v>
      </c>
      <c r="AD286" t="s">
        <v>312</v>
      </c>
      <c r="AE286">
        <v>92</v>
      </c>
      <c r="AF286">
        <v>14</v>
      </c>
      <c r="AG286">
        <v>36.799999999999997</v>
      </c>
      <c r="AH286">
        <v>12.3</v>
      </c>
    </row>
    <row r="287" spans="1:34" x14ac:dyDescent="0.25">
      <c r="A287" s="1">
        <v>285</v>
      </c>
      <c r="B287" s="31">
        <v>54</v>
      </c>
      <c r="C287" s="31" t="s">
        <v>11</v>
      </c>
      <c r="D287" s="31" t="s">
        <v>42</v>
      </c>
      <c r="E287" s="31" t="s">
        <v>37</v>
      </c>
      <c r="F287" s="31" t="s">
        <v>38</v>
      </c>
      <c r="G287" s="31">
        <v>2012</v>
      </c>
      <c r="H287" s="31">
        <v>2</v>
      </c>
      <c r="I287" s="31">
        <v>4</v>
      </c>
      <c r="J287" s="31" t="s">
        <v>14</v>
      </c>
      <c r="K287" s="31" t="s">
        <v>15</v>
      </c>
      <c r="L287" s="31" t="s">
        <v>16</v>
      </c>
      <c r="M287" s="31" t="s">
        <v>17</v>
      </c>
      <c r="N287" s="31" t="s">
        <v>33</v>
      </c>
      <c r="O287" s="31" t="s">
        <v>29</v>
      </c>
      <c r="P287" s="31" t="s">
        <v>29</v>
      </c>
      <c r="Q287" s="31" t="s">
        <v>19</v>
      </c>
      <c r="R287" s="31" t="s">
        <v>29</v>
      </c>
      <c r="S287" s="31" t="s">
        <v>29</v>
      </c>
      <c r="T287" s="31" t="s">
        <v>14</v>
      </c>
      <c r="U287" s="31" t="s">
        <v>59</v>
      </c>
      <c r="V287" s="31" t="s">
        <v>19</v>
      </c>
      <c r="W287" s="31" t="s">
        <v>29</v>
      </c>
      <c r="X287" s="31">
        <v>1.8</v>
      </c>
      <c r="Y287" s="31">
        <v>74</v>
      </c>
      <c r="Z287" s="32">
        <f t="shared" si="8"/>
        <v>22.839506172839506</v>
      </c>
      <c r="AA287" s="31">
        <v>86</v>
      </c>
      <c r="AB287" s="31">
        <v>100</v>
      </c>
      <c r="AC287" s="32">
        <f t="shared" si="9"/>
        <v>1.1627906976744187</v>
      </c>
      <c r="AD287" t="s">
        <v>263</v>
      </c>
      <c r="AE287">
        <v>72</v>
      </c>
      <c r="AF287">
        <v>16</v>
      </c>
      <c r="AG287">
        <v>37</v>
      </c>
      <c r="AH287">
        <v>14.8</v>
      </c>
    </row>
    <row r="288" spans="1:34" x14ac:dyDescent="0.25">
      <c r="A288" s="1">
        <v>286</v>
      </c>
      <c r="B288" s="1">
        <v>49</v>
      </c>
      <c r="C288" s="1" t="s">
        <v>32</v>
      </c>
      <c r="D288" s="1" t="s">
        <v>21</v>
      </c>
      <c r="E288" s="1" t="s">
        <v>36</v>
      </c>
      <c r="F288" s="1" t="s">
        <v>38</v>
      </c>
      <c r="G288" s="1">
        <v>2013</v>
      </c>
      <c r="H288" s="1">
        <v>1</v>
      </c>
      <c r="I288" s="1">
        <v>5</v>
      </c>
      <c r="J288" s="1" t="s">
        <v>14</v>
      </c>
      <c r="K288" s="1" t="s">
        <v>15</v>
      </c>
      <c r="L288" s="1" t="s">
        <v>16</v>
      </c>
      <c r="M288" s="1" t="s">
        <v>16</v>
      </c>
      <c r="N288" s="1" t="s">
        <v>33</v>
      </c>
      <c r="O288" s="1" t="s">
        <v>29</v>
      </c>
      <c r="P288" s="1" t="s">
        <v>29</v>
      </c>
      <c r="Q288" s="1" t="s">
        <v>19</v>
      </c>
      <c r="R288" s="1" t="s">
        <v>29</v>
      </c>
      <c r="S288" s="1" t="s">
        <v>29</v>
      </c>
      <c r="T288" s="1" t="s">
        <v>14</v>
      </c>
      <c r="U288" s="1" t="s">
        <v>79</v>
      </c>
      <c r="V288" s="1" t="s">
        <v>19</v>
      </c>
      <c r="W288" s="1" t="s">
        <v>29</v>
      </c>
      <c r="X288" s="1">
        <v>1.53</v>
      </c>
      <c r="Y288" s="1">
        <v>75</v>
      </c>
      <c r="Z288" s="3">
        <f t="shared" si="8"/>
        <v>32.038959374599514</v>
      </c>
      <c r="AA288" s="1">
        <v>110</v>
      </c>
      <c r="AB288" s="1">
        <v>94</v>
      </c>
      <c r="AC288" s="3">
        <f t="shared" si="9"/>
        <v>0.8545454545454545</v>
      </c>
      <c r="AD288" t="s">
        <v>313</v>
      </c>
      <c r="AE288">
        <v>74</v>
      </c>
      <c r="AF288">
        <v>12</v>
      </c>
      <c r="AG288">
        <v>37.1</v>
      </c>
      <c r="AH288">
        <v>12.2</v>
      </c>
    </row>
    <row r="289" spans="1:34" x14ac:dyDescent="0.25">
      <c r="A289" s="1">
        <v>287</v>
      </c>
      <c r="B289" s="1">
        <v>21</v>
      </c>
      <c r="C289" s="1" t="s">
        <v>32</v>
      </c>
      <c r="D289" s="1" t="s">
        <v>35</v>
      </c>
      <c r="E289" s="1" t="s">
        <v>22</v>
      </c>
      <c r="F289" s="1" t="s">
        <v>43</v>
      </c>
      <c r="G289" s="1">
        <v>2014</v>
      </c>
      <c r="H289" s="1">
        <v>1</v>
      </c>
      <c r="I289" s="1">
        <v>4</v>
      </c>
      <c r="J289" s="1" t="s">
        <v>19</v>
      </c>
      <c r="K289" s="1" t="s">
        <v>29</v>
      </c>
      <c r="L289" s="1" t="s">
        <v>18</v>
      </c>
      <c r="M289" s="1" t="s">
        <v>29</v>
      </c>
      <c r="N289" s="1" t="s">
        <v>33</v>
      </c>
      <c r="O289" s="1" t="s">
        <v>29</v>
      </c>
      <c r="P289" s="1" t="s">
        <v>29</v>
      </c>
      <c r="Q289" s="1" t="s">
        <v>19</v>
      </c>
      <c r="R289" s="1" t="s">
        <v>29</v>
      </c>
      <c r="S289" s="1" t="s">
        <v>29</v>
      </c>
      <c r="T289" s="1" t="s">
        <v>19</v>
      </c>
      <c r="U289" s="1" t="s">
        <v>29</v>
      </c>
      <c r="V289" s="1" t="s">
        <v>19</v>
      </c>
      <c r="W289" s="1" t="s">
        <v>29</v>
      </c>
      <c r="X289" s="1">
        <v>1.55</v>
      </c>
      <c r="Y289" s="1">
        <v>87</v>
      </c>
      <c r="Z289" s="3">
        <f t="shared" si="8"/>
        <v>36.21227887617065</v>
      </c>
      <c r="AA289" s="1">
        <v>116</v>
      </c>
      <c r="AB289" s="1">
        <v>100</v>
      </c>
      <c r="AC289" s="3">
        <f t="shared" si="9"/>
        <v>0.86206896551724133</v>
      </c>
      <c r="AD289" t="s">
        <v>314</v>
      </c>
      <c r="AE289">
        <v>112</v>
      </c>
      <c r="AF289">
        <v>16</v>
      </c>
      <c r="AG289">
        <v>36.5</v>
      </c>
      <c r="AH289">
        <v>4.5999999999999996</v>
      </c>
    </row>
    <row r="290" spans="1:34" x14ac:dyDescent="0.25">
      <c r="A290" s="1">
        <v>288</v>
      </c>
      <c r="B290" s="1">
        <v>39</v>
      </c>
      <c r="C290" s="1" t="s">
        <v>32</v>
      </c>
      <c r="D290" s="1" t="s">
        <v>21</v>
      </c>
      <c r="E290" s="1" t="s">
        <v>22</v>
      </c>
      <c r="F290" s="1" t="s">
        <v>38</v>
      </c>
      <c r="G290" s="1">
        <v>2008</v>
      </c>
      <c r="H290" s="1">
        <v>6</v>
      </c>
      <c r="I290" s="1">
        <v>4</v>
      </c>
      <c r="J290" s="1" t="s">
        <v>14</v>
      </c>
      <c r="K290" s="1" t="s">
        <v>15</v>
      </c>
      <c r="L290" s="1" t="s">
        <v>16</v>
      </c>
      <c r="M290" s="1" t="s">
        <v>17</v>
      </c>
      <c r="N290" s="1" t="s">
        <v>33</v>
      </c>
      <c r="O290" s="1" t="s">
        <v>29</v>
      </c>
      <c r="P290" s="1" t="s">
        <v>29</v>
      </c>
      <c r="Q290" s="1" t="s">
        <v>19</v>
      </c>
      <c r="R290" s="1" t="s">
        <v>29</v>
      </c>
      <c r="S290" s="1" t="s">
        <v>29</v>
      </c>
      <c r="T290" s="1" t="s">
        <v>19</v>
      </c>
      <c r="U290" s="1" t="s">
        <v>29</v>
      </c>
      <c r="V290" s="1" t="s">
        <v>19</v>
      </c>
      <c r="W290" s="1" t="s">
        <v>29</v>
      </c>
      <c r="X290" s="1">
        <v>1.55</v>
      </c>
      <c r="Y290" s="1">
        <v>91</v>
      </c>
      <c r="Z290" s="3">
        <f t="shared" si="8"/>
        <v>37.877211238293441</v>
      </c>
      <c r="AA290" s="1">
        <v>125</v>
      </c>
      <c r="AB290" s="1">
        <v>114</v>
      </c>
      <c r="AC290" s="3">
        <f t="shared" si="9"/>
        <v>0.91200000000000003</v>
      </c>
      <c r="AD290" t="s">
        <v>169</v>
      </c>
      <c r="AE290">
        <v>82</v>
      </c>
      <c r="AF290">
        <v>16</v>
      </c>
      <c r="AG290">
        <v>36.799999999999997</v>
      </c>
      <c r="AH290">
        <v>10.4</v>
      </c>
    </row>
    <row r="291" spans="1:34" x14ac:dyDescent="0.25">
      <c r="A291" s="1">
        <v>289</v>
      </c>
      <c r="B291" s="1">
        <v>52</v>
      </c>
      <c r="C291" s="1" t="s">
        <v>32</v>
      </c>
      <c r="D291" s="1" t="s">
        <v>54</v>
      </c>
      <c r="E291" s="1" t="s">
        <v>36</v>
      </c>
      <c r="F291" s="1" t="s">
        <v>23</v>
      </c>
      <c r="G291" s="1">
        <v>2010</v>
      </c>
      <c r="H291" s="1">
        <v>4</v>
      </c>
      <c r="I291" s="1">
        <v>4</v>
      </c>
      <c r="J291" s="1" t="s">
        <v>14</v>
      </c>
      <c r="K291" s="1" t="s">
        <v>15</v>
      </c>
      <c r="L291" s="1" t="s">
        <v>16</v>
      </c>
      <c r="M291" s="1" t="s">
        <v>17</v>
      </c>
      <c r="N291" s="1" t="s">
        <v>33</v>
      </c>
      <c r="O291" s="1" t="s">
        <v>29</v>
      </c>
      <c r="P291" s="1" t="s">
        <v>29</v>
      </c>
      <c r="Q291" s="1" t="s">
        <v>19</v>
      </c>
      <c r="R291" s="1" t="s">
        <v>29</v>
      </c>
      <c r="S291" s="1" t="s">
        <v>29</v>
      </c>
      <c r="T291" s="1" t="s">
        <v>14</v>
      </c>
      <c r="U291" s="1" t="s">
        <v>59</v>
      </c>
      <c r="V291" s="1" t="s">
        <v>14</v>
      </c>
      <c r="W291" s="1" t="s">
        <v>59</v>
      </c>
      <c r="X291" s="1">
        <v>1.64</v>
      </c>
      <c r="Y291" s="1">
        <v>70</v>
      </c>
      <c r="Z291" s="3">
        <f t="shared" si="8"/>
        <v>26.026174895895306</v>
      </c>
      <c r="AA291" s="1">
        <v>107</v>
      </c>
      <c r="AB291" s="1">
        <v>87</v>
      </c>
      <c r="AC291" s="3">
        <f t="shared" si="9"/>
        <v>0.81308411214953269</v>
      </c>
      <c r="AD291" t="s">
        <v>315</v>
      </c>
      <c r="AE291">
        <v>84</v>
      </c>
      <c r="AF291">
        <v>14</v>
      </c>
      <c r="AG291">
        <v>36.9</v>
      </c>
      <c r="AH291">
        <v>5.3</v>
      </c>
    </row>
    <row r="292" spans="1:34" x14ac:dyDescent="0.25">
      <c r="A292" s="1">
        <v>290</v>
      </c>
      <c r="B292" s="1">
        <v>40</v>
      </c>
      <c r="C292" s="1" t="s">
        <v>32</v>
      </c>
      <c r="D292" s="1" t="s">
        <v>21</v>
      </c>
      <c r="E292" s="1" t="s">
        <v>36</v>
      </c>
      <c r="F292" s="1" t="s">
        <v>38</v>
      </c>
      <c r="G292" s="1">
        <v>2002</v>
      </c>
      <c r="H292" s="1">
        <v>12</v>
      </c>
      <c r="I292" s="1">
        <v>4</v>
      </c>
      <c r="J292" s="1" t="s">
        <v>19</v>
      </c>
      <c r="K292" s="1" t="s">
        <v>29</v>
      </c>
      <c r="L292" s="1" t="s">
        <v>18</v>
      </c>
      <c r="M292" s="1" t="s">
        <v>29</v>
      </c>
      <c r="N292" s="1" t="s">
        <v>33</v>
      </c>
      <c r="O292" s="1" t="s">
        <v>29</v>
      </c>
      <c r="P292" s="1" t="s">
        <v>29</v>
      </c>
      <c r="Q292" s="1" t="s">
        <v>19</v>
      </c>
      <c r="R292" s="1" t="s">
        <v>29</v>
      </c>
      <c r="S292" s="1" t="s">
        <v>29</v>
      </c>
      <c r="T292" s="1" t="s">
        <v>19</v>
      </c>
      <c r="U292" s="1" t="s">
        <v>29</v>
      </c>
      <c r="V292" s="1" t="s">
        <v>14</v>
      </c>
      <c r="W292" s="1" t="s">
        <v>59</v>
      </c>
      <c r="X292" s="1">
        <v>1.56</v>
      </c>
      <c r="Y292" s="1">
        <v>58</v>
      </c>
      <c r="Z292" s="3">
        <f t="shared" si="8"/>
        <v>23.83300460223537</v>
      </c>
      <c r="AA292" s="1">
        <v>95</v>
      </c>
      <c r="AB292" s="1">
        <v>85</v>
      </c>
      <c r="AC292" s="3">
        <f t="shared" si="9"/>
        <v>0.89473684210526316</v>
      </c>
      <c r="AD292" t="s">
        <v>164</v>
      </c>
      <c r="AE292">
        <v>66</v>
      </c>
      <c r="AF292">
        <v>18</v>
      </c>
      <c r="AG292">
        <v>37</v>
      </c>
      <c r="AH292">
        <v>6</v>
      </c>
    </row>
    <row r="293" spans="1:34" x14ac:dyDescent="0.25">
      <c r="A293" s="1">
        <v>291</v>
      </c>
      <c r="B293" s="1">
        <v>53</v>
      </c>
      <c r="C293" s="1" t="s">
        <v>152</v>
      </c>
      <c r="D293" s="1" t="s">
        <v>21</v>
      </c>
      <c r="E293" s="1" t="s">
        <v>22</v>
      </c>
      <c r="F293" s="1" t="s">
        <v>43</v>
      </c>
      <c r="G293" s="1">
        <v>2014</v>
      </c>
      <c r="H293" s="1">
        <v>1</v>
      </c>
      <c r="I293" s="1">
        <v>4</v>
      </c>
      <c r="J293" s="1" t="s">
        <v>19</v>
      </c>
      <c r="K293" s="1" t="s">
        <v>29</v>
      </c>
      <c r="L293" s="1" t="s">
        <v>18</v>
      </c>
      <c r="M293" s="1" t="s">
        <v>29</v>
      </c>
      <c r="N293" s="1" t="s">
        <v>25</v>
      </c>
      <c r="O293" s="1" t="s">
        <v>26</v>
      </c>
      <c r="P293" s="1" t="s">
        <v>40</v>
      </c>
      <c r="Q293" s="1" t="s">
        <v>14</v>
      </c>
      <c r="R293" s="1" t="s">
        <v>58</v>
      </c>
      <c r="S293" s="4" t="s">
        <v>61</v>
      </c>
      <c r="T293" s="1" t="s">
        <v>14</v>
      </c>
      <c r="U293" s="1" t="s">
        <v>41</v>
      </c>
      <c r="V293" s="1" t="s">
        <v>19</v>
      </c>
      <c r="W293" s="1" t="s">
        <v>29</v>
      </c>
      <c r="X293" s="1">
        <v>1.5</v>
      </c>
      <c r="Y293" s="1">
        <v>48</v>
      </c>
      <c r="Z293" s="3">
        <f t="shared" si="8"/>
        <v>21.333333333333332</v>
      </c>
      <c r="AA293" s="1">
        <v>78</v>
      </c>
      <c r="AB293" s="1">
        <v>74</v>
      </c>
      <c r="AC293" s="3">
        <f t="shared" si="9"/>
        <v>0.94871794871794868</v>
      </c>
      <c r="AD293" t="s">
        <v>316</v>
      </c>
      <c r="AE293">
        <v>68</v>
      </c>
      <c r="AF293">
        <v>12</v>
      </c>
      <c r="AG293">
        <v>37.1</v>
      </c>
      <c r="AH293">
        <v>20.8</v>
      </c>
    </row>
    <row r="294" spans="1:34" x14ac:dyDescent="0.25">
      <c r="A294" s="1">
        <v>292</v>
      </c>
      <c r="B294" s="1">
        <v>65</v>
      </c>
      <c r="C294" s="1" t="s">
        <v>32</v>
      </c>
      <c r="D294" s="1" t="s">
        <v>42</v>
      </c>
      <c r="E294" s="1" t="s">
        <v>22</v>
      </c>
      <c r="F294" s="1" t="s">
        <v>23</v>
      </c>
      <c r="G294" s="1">
        <v>2000</v>
      </c>
      <c r="H294" s="1">
        <v>14</v>
      </c>
      <c r="I294" s="1">
        <v>4</v>
      </c>
      <c r="J294" s="1" t="s">
        <v>19</v>
      </c>
      <c r="K294" s="1" t="s">
        <v>29</v>
      </c>
      <c r="L294" s="1" t="s">
        <v>129</v>
      </c>
      <c r="M294" s="1" t="s">
        <v>16</v>
      </c>
      <c r="N294" s="1" t="s">
        <v>33</v>
      </c>
      <c r="O294" s="1" t="s">
        <v>29</v>
      </c>
      <c r="P294" s="1" t="s">
        <v>29</v>
      </c>
      <c r="Q294" s="1" t="s">
        <v>19</v>
      </c>
      <c r="R294" s="1" t="s">
        <v>29</v>
      </c>
      <c r="S294" s="1" t="s">
        <v>29</v>
      </c>
      <c r="T294" s="1" t="s">
        <v>19</v>
      </c>
      <c r="U294" s="1" t="s">
        <v>29</v>
      </c>
      <c r="V294" s="1" t="s">
        <v>19</v>
      </c>
      <c r="W294" s="1" t="s">
        <v>29</v>
      </c>
      <c r="X294" s="1">
        <v>1.59</v>
      </c>
      <c r="Y294" s="1">
        <v>78</v>
      </c>
      <c r="Z294" s="3">
        <f t="shared" si="8"/>
        <v>30.853209920493647</v>
      </c>
      <c r="AA294" s="1">
        <v>115</v>
      </c>
      <c r="AB294" s="1">
        <v>100</v>
      </c>
      <c r="AC294" s="3">
        <f t="shared" si="9"/>
        <v>0.86956521739130432</v>
      </c>
      <c r="AD294" t="s">
        <v>317</v>
      </c>
      <c r="AE294">
        <v>76</v>
      </c>
      <c r="AF294">
        <v>14</v>
      </c>
      <c r="AG294">
        <v>36.799999999999997</v>
      </c>
      <c r="AH294">
        <v>17.8</v>
      </c>
    </row>
    <row r="295" spans="1:34" x14ac:dyDescent="0.25">
      <c r="A295" s="1">
        <v>293</v>
      </c>
      <c r="B295" s="1">
        <v>36</v>
      </c>
      <c r="C295" s="1" t="s">
        <v>11</v>
      </c>
      <c r="D295" s="1" t="s">
        <v>21</v>
      </c>
      <c r="E295" s="1" t="s">
        <v>22</v>
      </c>
      <c r="F295" s="1" t="s">
        <v>38</v>
      </c>
      <c r="G295" s="1">
        <v>2014</v>
      </c>
      <c r="H295" s="1">
        <v>1</v>
      </c>
      <c r="I295" s="1">
        <v>4</v>
      </c>
      <c r="J295" s="1" t="s">
        <v>19</v>
      </c>
      <c r="K295" s="1" t="s">
        <v>29</v>
      </c>
      <c r="L295" s="1" t="s">
        <v>18</v>
      </c>
      <c r="M295" s="1" t="s">
        <v>29</v>
      </c>
      <c r="N295" s="1" t="s">
        <v>78</v>
      </c>
      <c r="O295" s="1" t="s">
        <v>26</v>
      </c>
      <c r="P295" s="1" t="s">
        <v>40</v>
      </c>
      <c r="Q295" s="1" t="s">
        <v>14</v>
      </c>
      <c r="R295" s="4" t="s">
        <v>61</v>
      </c>
      <c r="S295" s="4" t="s">
        <v>61</v>
      </c>
      <c r="T295" s="1" t="s">
        <v>19</v>
      </c>
      <c r="U295" s="1" t="s">
        <v>29</v>
      </c>
      <c r="V295" s="1" t="s">
        <v>19</v>
      </c>
      <c r="W295" s="1" t="s">
        <v>29</v>
      </c>
      <c r="X295" s="1">
        <v>1.7</v>
      </c>
      <c r="Y295" s="1">
        <v>55</v>
      </c>
      <c r="Z295" s="3">
        <f t="shared" si="8"/>
        <v>19.031141868512112</v>
      </c>
      <c r="AA295" s="1">
        <v>69</v>
      </c>
      <c r="AB295" s="1">
        <v>89</v>
      </c>
      <c r="AC295" s="3">
        <f t="shared" si="9"/>
        <v>1.2898550724637681</v>
      </c>
      <c r="AD295" t="s">
        <v>318</v>
      </c>
      <c r="AE295">
        <v>75</v>
      </c>
      <c r="AF295">
        <v>20</v>
      </c>
      <c r="AG295">
        <v>37</v>
      </c>
      <c r="AH295">
        <v>9.3000000000000007</v>
      </c>
    </row>
    <row r="296" spans="1:34" x14ac:dyDescent="0.25">
      <c r="A296" s="1">
        <v>294</v>
      </c>
      <c r="B296" s="1">
        <v>85</v>
      </c>
      <c r="C296" s="1" t="s">
        <v>32</v>
      </c>
      <c r="D296" s="1" t="s">
        <v>42</v>
      </c>
      <c r="E296" s="1" t="s">
        <v>37</v>
      </c>
      <c r="F296" s="1" t="s">
        <v>43</v>
      </c>
      <c r="G296" s="1">
        <v>2002</v>
      </c>
      <c r="H296" s="1">
        <v>12</v>
      </c>
      <c r="I296" s="1">
        <v>4</v>
      </c>
      <c r="J296" s="1" t="s">
        <v>14</v>
      </c>
      <c r="K296" s="1" t="s">
        <v>15</v>
      </c>
      <c r="L296" s="1" t="s">
        <v>16</v>
      </c>
      <c r="M296" s="1" t="s">
        <v>12</v>
      </c>
      <c r="N296" s="1" t="s">
        <v>33</v>
      </c>
      <c r="O296" s="1" t="s">
        <v>29</v>
      </c>
      <c r="P296" s="1" t="s">
        <v>29</v>
      </c>
      <c r="Q296" s="1" t="s">
        <v>19</v>
      </c>
      <c r="R296" s="1" t="s">
        <v>29</v>
      </c>
      <c r="S296" s="1" t="s">
        <v>29</v>
      </c>
      <c r="T296" s="1" t="s">
        <v>14</v>
      </c>
      <c r="U296" s="1" t="s">
        <v>76</v>
      </c>
      <c r="V296" s="1" t="s">
        <v>19</v>
      </c>
      <c r="W296" s="1" t="s">
        <v>29</v>
      </c>
      <c r="X296" s="1">
        <v>1.47</v>
      </c>
      <c r="Y296" s="1">
        <v>57</v>
      </c>
      <c r="Z296" s="3">
        <f t="shared" si="8"/>
        <v>26.377898098014718</v>
      </c>
      <c r="AA296" s="1">
        <v>106</v>
      </c>
      <c r="AB296" s="1">
        <v>90</v>
      </c>
      <c r="AC296" s="3">
        <f t="shared" si="9"/>
        <v>0.84905660377358494</v>
      </c>
      <c r="AD296" t="s">
        <v>319</v>
      </c>
      <c r="AE296">
        <v>88</v>
      </c>
      <c r="AF296">
        <v>12</v>
      </c>
      <c r="AG296">
        <v>36.5</v>
      </c>
      <c r="AH296">
        <v>13.2</v>
      </c>
    </row>
    <row r="297" spans="1:34" x14ac:dyDescent="0.25">
      <c r="A297" s="1">
        <v>295</v>
      </c>
      <c r="B297" s="1">
        <v>83</v>
      </c>
      <c r="C297" s="1" t="s">
        <v>32</v>
      </c>
      <c r="D297" s="1" t="s">
        <v>42</v>
      </c>
      <c r="E297" s="1" t="s">
        <v>22</v>
      </c>
      <c r="F297" s="1" t="s">
        <v>43</v>
      </c>
      <c r="G297" s="1">
        <v>2004</v>
      </c>
      <c r="H297" s="1">
        <v>10</v>
      </c>
      <c r="I297" s="1">
        <v>4</v>
      </c>
      <c r="J297" s="1" t="s">
        <v>14</v>
      </c>
      <c r="K297" s="1" t="s">
        <v>15</v>
      </c>
      <c r="L297" s="1" t="s">
        <v>16</v>
      </c>
      <c r="M297" s="1" t="s">
        <v>17</v>
      </c>
      <c r="N297" s="1" t="s">
        <v>33</v>
      </c>
      <c r="O297" s="1" t="s">
        <v>29</v>
      </c>
      <c r="P297" s="1" t="s">
        <v>29</v>
      </c>
      <c r="Q297" s="1" t="s">
        <v>19</v>
      </c>
      <c r="R297" s="1" t="s">
        <v>29</v>
      </c>
      <c r="S297" s="1" t="s">
        <v>29</v>
      </c>
      <c r="T297" s="1" t="s">
        <v>14</v>
      </c>
      <c r="U297" s="1" t="s">
        <v>75</v>
      </c>
      <c r="V297" s="1" t="s">
        <v>14</v>
      </c>
      <c r="W297" s="1" t="s">
        <v>75</v>
      </c>
      <c r="X297" s="1">
        <v>1.5</v>
      </c>
      <c r="Y297" s="1">
        <v>72</v>
      </c>
      <c r="Z297" s="3">
        <f t="shared" si="8"/>
        <v>32</v>
      </c>
      <c r="AA297" s="1">
        <v>116</v>
      </c>
      <c r="AB297" s="1">
        <v>105</v>
      </c>
      <c r="AC297" s="3">
        <f t="shared" si="9"/>
        <v>0.90517241379310343</v>
      </c>
      <c r="AD297" t="s">
        <v>320</v>
      </c>
      <c r="AE297">
        <v>100</v>
      </c>
      <c r="AF297">
        <v>16</v>
      </c>
      <c r="AG297">
        <v>37.1</v>
      </c>
      <c r="AH297">
        <v>16.600000000000001</v>
      </c>
    </row>
    <row r="298" spans="1:34" x14ac:dyDescent="0.25">
      <c r="A298" s="1">
        <v>296</v>
      </c>
      <c r="B298" s="1">
        <v>70</v>
      </c>
      <c r="C298" s="1" t="s">
        <v>32</v>
      </c>
      <c r="D298" s="1" t="s">
        <v>21</v>
      </c>
      <c r="E298" s="1" t="s">
        <v>22</v>
      </c>
      <c r="F298" s="1" t="s">
        <v>43</v>
      </c>
      <c r="G298" s="1">
        <v>1995</v>
      </c>
      <c r="H298" s="1">
        <v>19</v>
      </c>
      <c r="I298" s="1">
        <v>4</v>
      </c>
      <c r="J298" s="1" t="s">
        <v>19</v>
      </c>
      <c r="K298" s="1" t="s">
        <v>29</v>
      </c>
      <c r="L298" s="1" t="s">
        <v>129</v>
      </c>
      <c r="M298" s="1" t="s">
        <v>17</v>
      </c>
      <c r="N298" s="1" t="s">
        <v>33</v>
      </c>
      <c r="O298" s="1" t="s">
        <v>29</v>
      </c>
      <c r="P298" s="1" t="s">
        <v>29</v>
      </c>
      <c r="Q298" s="1" t="s">
        <v>19</v>
      </c>
      <c r="R298" s="1" t="s">
        <v>29</v>
      </c>
      <c r="S298" s="1" t="s">
        <v>29</v>
      </c>
      <c r="T298" s="1" t="s">
        <v>19</v>
      </c>
      <c r="U298" s="1" t="s">
        <v>29</v>
      </c>
      <c r="V298" s="1" t="s">
        <v>19</v>
      </c>
      <c r="W298" s="1" t="s">
        <v>29</v>
      </c>
      <c r="X298" s="1">
        <v>1.58</v>
      </c>
      <c r="Y298" s="1">
        <v>61</v>
      </c>
      <c r="Z298" s="3">
        <f t="shared" si="8"/>
        <v>24.435186668803073</v>
      </c>
      <c r="AA298" s="1">
        <v>94</v>
      </c>
      <c r="AB298" s="1">
        <v>91</v>
      </c>
      <c r="AC298" s="3">
        <f t="shared" si="9"/>
        <v>0.96808510638297873</v>
      </c>
      <c r="AD298" t="s">
        <v>214</v>
      </c>
      <c r="AE298">
        <v>102</v>
      </c>
      <c r="AF298">
        <v>14</v>
      </c>
      <c r="AG298">
        <v>36.4</v>
      </c>
      <c r="AH298">
        <v>13.7</v>
      </c>
    </row>
    <row r="299" spans="1:34" x14ac:dyDescent="0.25">
      <c r="A299" s="1">
        <v>297</v>
      </c>
      <c r="B299" s="1">
        <v>60</v>
      </c>
      <c r="C299" s="1" t="s">
        <v>11</v>
      </c>
      <c r="D299" s="1" t="s">
        <v>21</v>
      </c>
      <c r="E299" s="1" t="s">
        <v>22</v>
      </c>
      <c r="F299" s="1" t="s">
        <v>23</v>
      </c>
      <c r="G299" s="1">
        <v>2011</v>
      </c>
      <c r="H299" s="1">
        <v>3</v>
      </c>
      <c r="I299" s="1">
        <v>4</v>
      </c>
      <c r="J299" s="1" t="s">
        <v>19</v>
      </c>
      <c r="K299" s="1" t="s">
        <v>29</v>
      </c>
      <c r="L299" s="1" t="s">
        <v>16</v>
      </c>
      <c r="M299" s="1" t="s">
        <v>16</v>
      </c>
      <c r="N299" s="1" t="s">
        <v>33</v>
      </c>
      <c r="O299" s="1" t="s">
        <v>29</v>
      </c>
      <c r="P299" s="1" t="s">
        <v>29</v>
      </c>
      <c r="Q299" s="1" t="s">
        <v>19</v>
      </c>
      <c r="R299" s="1" t="s">
        <v>29</v>
      </c>
      <c r="S299" s="1" t="s">
        <v>29</v>
      </c>
      <c r="T299" s="1" t="s">
        <v>19</v>
      </c>
      <c r="U299" s="1" t="s">
        <v>29</v>
      </c>
      <c r="V299" s="1" t="s">
        <v>19</v>
      </c>
      <c r="W299" s="1" t="s">
        <v>29</v>
      </c>
      <c r="X299" s="1">
        <v>1.68</v>
      </c>
      <c r="Y299" s="1">
        <v>67</v>
      </c>
      <c r="Z299" s="3">
        <f t="shared" si="8"/>
        <v>23.738662131519277</v>
      </c>
      <c r="AA299" s="1">
        <v>96</v>
      </c>
      <c r="AB299" s="1">
        <v>92</v>
      </c>
      <c r="AC299" s="3">
        <f t="shared" si="9"/>
        <v>0.95833333333333337</v>
      </c>
      <c r="AD299" t="s">
        <v>321</v>
      </c>
      <c r="AE299">
        <v>82</v>
      </c>
      <c r="AF299">
        <v>18</v>
      </c>
      <c r="AG299">
        <v>37.200000000000003</v>
      </c>
      <c r="AH299">
        <v>6.5</v>
      </c>
    </row>
    <row r="300" spans="1:34" x14ac:dyDescent="0.25">
      <c r="A300" s="1">
        <v>298</v>
      </c>
      <c r="B300" s="1">
        <v>44</v>
      </c>
      <c r="C300" s="1" t="s">
        <v>32</v>
      </c>
      <c r="D300" s="1" t="s">
        <v>42</v>
      </c>
      <c r="E300" s="1" t="s">
        <v>22</v>
      </c>
      <c r="F300" s="1" t="s">
        <v>38</v>
      </c>
      <c r="G300" s="1">
        <v>2010</v>
      </c>
      <c r="H300" s="1">
        <v>4</v>
      </c>
      <c r="I300" s="1">
        <v>4</v>
      </c>
      <c r="J300" s="1" t="s">
        <v>19</v>
      </c>
      <c r="K300" s="1" t="s">
        <v>29</v>
      </c>
      <c r="L300" s="1" t="s">
        <v>16</v>
      </c>
      <c r="M300" s="1" t="s">
        <v>29</v>
      </c>
      <c r="N300" s="1" t="s">
        <v>33</v>
      </c>
      <c r="O300" s="1" t="s">
        <v>29</v>
      </c>
      <c r="P300" s="1" t="s">
        <v>29</v>
      </c>
      <c r="Q300" s="1" t="s">
        <v>19</v>
      </c>
      <c r="R300" s="1" t="s">
        <v>29</v>
      </c>
      <c r="S300" s="1" t="s">
        <v>29</v>
      </c>
      <c r="T300" s="1" t="s">
        <v>19</v>
      </c>
      <c r="U300" s="1" t="s">
        <v>29</v>
      </c>
      <c r="V300" s="1" t="s">
        <v>19</v>
      </c>
      <c r="W300" s="1" t="s">
        <v>29</v>
      </c>
      <c r="X300" s="1">
        <v>1.6</v>
      </c>
      <c r="Y300" s="1">
        <v>78</v>
      </c>
      <c r="Z300" s="3">
        <f t="shared" si="8"/>
        <v>30.468749999999993</v>
      </c>
      <c r="AA300" s="1">
        <v>109</v>
      </c>
      <c r="AB300" s="1">
        <v>104</v>
      </c>
      <c r="AC300" s="3">
        <f t="shared" si="9"/>
        <v>0.95412844036697253</v>
      </c>
      <c r="AD300" t="s">
        <v>322</v>
      </c>
      <c r="AE300">
        <v>92</v>
      </c>
      <c r="AF300">
        <v>20</v>
      </c>
      <c r="AG300">
        <v>36.9</v>
      </c>
      <c r="AH300">
        <v>9.5</v>
      </c>
    </row>
    <row r="301" spans="1:34" x14ac:dyDescent="0.25">
      <c r="A301" s="1">
        <v>299</v>
      </c>
      <c r="B301" s="1">
        <v>83</v>
      </c>
      <c r="C301" s="1" t="s">
        <v>11</v>
      </c>
      <c r="D301" s="1" t="s">
        <v>21</v>
      </c>
      <c r="E301" s="1" t="s">
        <v>22</v>
      </c>
      <c r="F301" s="1" t="s">
        <v>23</v>
      </c>
      <c r="G301" s="1">
        <v>1995</v>
      </c>
      <c r="H301" s="1">
        <v>19</v>
      </c>
      <c r="I301" s="1">
        <v>3</v>
      </c>
      <c r="J301" s="1" t="s">
        <v>14</v>
      </c>
      <c r="K301" s="1" t="s">
        <v>15</v>
      </c>
      <c r="L301" s="1" t="s">
        <v>16</v>
      </c>
      <c r="M301" s="1" t="s">
        <v>29</v>
      </c>
      <c r="N301" s="1" t="s">
        <v>25</v>
      </c>
      <c r="O301" s="1" t="s">
        <v>26</v>
      </c>
      <c r="P301" s="1" t="s">
        <v>40</v>
      </c>
      <c r="Q301" s="1" t="s">
        <v>14</v>
      </c>
      <c r="R301" s="1" t="s">
        <v>27</v>
      </c>
      <c r="S301" s="1" t="s">
        <v>58</v>
      </c>
      <c r="T301" s="1" t="s">
        <v>14</v>
      </c>
      <c r="U301" s="1" t="s">
        <v>41</v>
      </c>
      <c r="V301" s="1" t="s">
        <v>14</v>
      </c>
      <c r="W301" s="1" t="s">
        <v>41</v>
      </c>
      <c r="X301" s="1">
        <v>1.7</v>
      </c>
      <c r="Y301" s="1">
        <v>94</v>
      </c>
      <c r="Z301" s="3">
        <f t="shared" si="8"/>
        <v>32.525951557093428</v>
      </c>
      <c r="AA301" s="1">
        <v>82</v>
      </c>
      <c r="AB301" s="1">
        <v>95</v>
      </c>
      <c r="AC301" s="3">
        <f t="shared" si="9"/>
        <v>1.1585365853658536</v>
      </c>
      <c r="AD301" t="s">
        <v>323</v>
      </c>
      <c r="AE301">
        <v>114</v>
      </c>
      <c r="AF301">
        <v>12</v>
      </c>
      <c r="AG301">
        <v>37.1</v>
      </c>
      <c r="AH301">
        <v>5.8</v>
      </c>
    </row>
    <row r="302" spans="1:34" x14ac:dyDescent="0.25">
      <c r="A302" s="1">
        <v>300</v>
      </c>
      <c r="B302" s="1">
        <v>53</v>
      </c>
      <c r="C302" s="1" t="s">
        <v>32</v>
      </c>
      <c r="D302" s="1" t="s">
        <v>21</v>
      </c>
      <c r="E302" s="1" t="s">
        <v>36</v>
      </c>
      <c r="F302" s="1" t="s">
        <v>50</v>
      </c>
      <c r="G302" s="1">
        <v>2004</v>
      </c>
      <c r="H302" s="1">
        <v>10</v>
      </c>
      <c r="I302" s="1">
        <v>4</v>
      </c>
      <c r="J302" s="1" t="s">
        <v>14</v>
      </c>
      <c r="K302" s="1" t="s">
        <v>15</v>
      </c>
      <c r="L302" s="1" t="s">
        <v>16</v>
      </c>
      <c r="M302" s="1" t="s">
        <v>17</v>
      </c>
      <c r="N302" s="1" t="s">
        <v>33</v>
      </c>
      <c r="O302" s="1" t="s">
        <v>29</v>
      </c>
      <c r="P302" s="1" t="s">
        <v>29</v>
      </c>
      <c r="Q302" s="1" t="s">
        <v>19</v>
      </c>
      <c r="R302" s="1" t="s">
        <v>29</v>
      </c>
      <c r="S302" s="1" t="s">
        <v>29</v>
      </c>
      <c r="T302" s="1" t="s">
        <v>14</v>
      </c>
      <c r="U302" s="1" t="s">
        <v>150</v>
      </c>
      <c r="V302" s="1" t="s">
        <v>19</v>
      </c>
      <c r="W302" s="1" t="s">
        <v>29</v>
      </c>
      <c r="X302" s="1">
        <v>1.54</v>
      </c>
      <c r="Y302" s="1">
        <v>85</v>
      </c>
      <c r="Z302" s="3">
        <f t="shared" si="8"/>
        <v>35.840782594029349</v>
      </c>
      <c r="AA302" s="1">
        <v>120</v>
      </c>
      <c r="AB302" s="1">
        <v>106</v>
      </c>
      <c r="AC302" s="3">
        <f t="shared" si="9"/>
        <v>0.8833333333333333</v>
      </c>
      <c r="AD302" t="s">
        <v>324</v>
      </c>
      <c r="AE302">
        <v>66</v>
      </c>
      <c r="AF302">
        <v>14</v>
      </c>
      <c r="AG302">
        <v>36.700000000000003</v>
      </c>
      <c r="AH302">
        <v>12.3</v>
      </c>
    </row>
    <row r="303" spans="1:34" x14ac:dyDescent="0.25">
      <c r="A303" s="1">
        <v>301</v>
      </c>
      <c r="B303" s="1">
        <v>62</v>
      </c>
      <c r="C303" s="1" t="s">
        <v>11</v>
      </c>
      <c r="D303" s="1" t="s">
        <v>21</v>
      </c>
      <c r="E303" s="1" t="s">
        <v>34</v>
      </c>
      <c r="F303" s="1" t="s">
        <v>23</v>
      </c>
      <c r="G303" s="1">
        <v>1994</v>
      </c>
      <c r="H303" s="1">
        <v>20</v>
      </c>
      <c r="I303" s="1">
        <v>4</v>
      </c>
      <c r="J303" s="1" t="s">
        <v>14</v>
      </c>
      <c r="K303" s="1" t="s">
        <v>15</v>
      </c>
      <c r="L303" s="1" t="s">
        <v>18</v>
      </c>
      <c r="M303" s="1" t="s">
        <v>17</v>
      </c>
      <c r="N303" s="1" t="s">
        <v>25</v>
      </c>
      <c r="O303" s="1" t="s">
        <v>57</v>
      </c>
      <c r="P303" s="1" t="s">
        <v>28</v>
      </c>
      <c r="Q303" s="1" t="s">
        <v>14</v>
      </c>
      <c r="R303" s="4" t="s">
        <v>61</v>
      </c>
      <c r="S303" s="4" t="s">
        <v>61</v>
      </c>
      <c r="T303" s="1" t="s">
        <v>14</v>
      </c>
      <c r="U303" s="1" t="s">
        <v>53</v>
      </c>
      <c r="V303" s="1" t="s">
        <v>19</v>
      </c>
      <c r="W303" s="1" t="s">
        <v>29</v>
      </c>
      <c r="X303" s="1">
        <v>1.71</v>
      </c>
      <c r="Y303" s="1">
        <v>91</v>
      </c>
      <c r="Z303" s="3">
        <f t="shared" si="8"/>
        <v>31.120686707020965</v>
      </c>
      <c r="AA303" s="1">
        <v>104</v>
      </c>
      <c r="AB303" s="1">
        <v>100</v>
      </c>
      <c r="AC303" s="3">
        <f t="shared" si="9"/>
        <v>0.96153846153846156</v>
      </c>
      <c r="AD303" t="s">
        <v>214</v>
      </c>
      <c r="AE303">
        <v>80</v>
      </c>
      <c r="AF303">
        <v>18</v>
      </c>
      <c r="AG303">
        <v>37.200000000000003</v>
      </c>
      <c r="AH303">
        <v>14.8</v>
      </c>
    </row>
    <row r="304" spans="1:34" x14ac:dyDescent="0.25">
      <c r="A304" s="1">
        <v>302</v>
      </c>
      <c r="B304" s="1">
        <v>56</v>
      </c>
      <c r="C304" s="1" t="s">
        <v>32</v>
      </c>
      <c r="D304" s="1" t="s">
        <v>21</v>
      </c>
      <c r="E304" s="1" t="s">
        <v>36</v>
      </c>
      <c r="F304" s="1" t="s">
        <v>38</v>
      </c>
      <c r="G304" s="1">
        <v>2008</v>
      </c>
      <c r="H304" s="1">
        <v>6</v>
      </c>
      <c r="I304" s="1">
        <v>4</v>
      </c>
      <c r="J304" s="1" t="s">
        <v>19</v>
      </c>
      <c r="K304" s="1" t="s">
        <v>29</v>
      </c>
      <c r="L304" s="1" t="s">
        <v>16</v>
      </c>
      <c r="M304" s="1" t="s">
        <v>16</v>
      </c>
      <c r="N304" s="1" t="s">
        <v>33</v>
      </c>
      <c r="O304" s="1" t="s">
        <v>29</v>
      </c>
      <c r="P304" s="1" t="s">
        <v>29</v>
      </c>
      <c r="Q304" s="1" t="s">
        <v>19</v>
      </c>
      <c r="R304" s="1" t="s">
        <v>29</v>
      </c>
      <c r="S304" s="1" t="s">
        <v>29</v>
      </c>
      <c r="T304" s="1" t="s">
        <v>19</v>
      </c>
      <c r="U304" s="1" t="s">
        <v>29</v>
      </c>
      <c r="V304" s="1" t="s">
        <v>19</v>
      </c>
      <c r="W304" s="1" t="s">
        <v>29</v>
      </c>
      <c r="X304" s="1">
        <v>1.63</v>
      </c>
      <c r="Y304" s="1">
        <v>70</v>
      </c>
      <c r="Z304" s="3">
        <f t="shared" si="8"/>
        <v>26.346494034400994</v>
      </c>
      <c r="AA304" s="1">
        <v>108</v>
      </c>
      <c r="AB304" s="1">
        <v>102</v>
      </c>
      <c r="AC304" s="3">
        <f t="shared" si="9"/>
        <v>0.94444444444444442</v>
      </c>
      <c r="AD304" t="s">
        <v>169</v>
      </c>
      <c r="AE304">
        <v>64</v>
      </c>
      <c r="AF304">
        <v>12</v>
      </c>
      <c r="AG304">
        <v>36.799999999999997</v>
      </c>
      <c r="AH304">
        <v>18</v>
      </c>
    </row>
    <row r="305" spans="1:34" x14ac:dyDescent="0.25">
      <c r="A305" s="1">
        <v>303</v>
      </c>
      <c r="B305" s="1">
        <v>77</v>
      </c>
      <c r="C305" s="1" t="s">
        <v>32</v>
      </c>
      <c r="D305" s="1" t="s">
        <v>42</v>
      </c>
      <c r="E305" s="1" t="s">
        <v>22</v>
      </c>
      <c r="F305" s="1" t="s">
        <v>38</v>
      </c>
      <c r="G305" s="1">
        <v>2011</v>
      </c>
      <c r="H305" s="1">
        <v>3</v>
      </c>
      <c r="I305" s="1">
        <v>4</v>
      </c>
      <c r="J305" s="1" t="s">
        <v>14</v>
      </c>
      <c r="K305" s="1" t="s">
        <v>15</v>
      </c>
      <c r="L305" s="31" t="s">
        <v>16</v>
      </c>
      <c r="M305" s="31" t="s">
        <v>17</v>
      </c>
      <c r="N305" s="1" t="s">
        <v>33</v>
      </c>
      <c r="O305" s="1" t="s">
        <v>29</v>
      </c>
      <c r="P305" s="1" t="s">
        <v>29</v>
      </c>
      <c r="Q305" s="1" t="s">
        <v>19</v>
      </c>
      <c r="R305" s="1" t="s">
        <v>29</v>
      </c>
      <c r="S305" s="1" t="s">
        <v>29</v>
      </c>
      <c r="T305" s="1" t="s">
        <v>19</v>
      </c>
      <c r="U305" s="1" t="s">
        <v>29</v>
      </c>
      <c r="V305" s="1" t="s">
        <v>14</v>
      </c>
      <c r="W305" s="1" t="s">
        <v>75</v>
      </c>
      <c r="X305" s="1">
        <v>1.4</v>
      </c>
      <c r="Y305" s="1">
        <v>85</v>
      </c>
      <c r="Z305" s="3">
        <f t="shared" si="8"/>
        <v>43.367346938775519</v>
      </c>
      <c r="AA305" s="1">
        <v>127</v>
      </c>
      <c r="AB305" s="1">
        <v>107</v>
      </c>
      <c r="AC305" s="3">
        <f t="shared" si="9"/>
        <v>0.84251968503937003</v>
      </c>
      <c r="AD305" t="s">
        <v>325</v>
      </c>
      <c r="AE305">
        <v>60</v>
      </c>
      <c r="AF305">
        <v>12</v>
      </c>
      <c r="AG305">
        <v>36.5</v>
      </c>
      <c r="AH305">
        <v>7.3</v>
      </c>
    </row>
    <row r="306" spans="1:34" x14ac:dyDescent="0.25">
      <c r="A306" s="1">
        <v>304</v>
      </c>
      <c r="B306" s="1">
        <v>69</v>
      </c>
      <c r="C306" s="1" t="s">
        <v>32</v>
      </c>
      <c r="D306" s="1" t="s">
        <v>42</v>
      </c>
      <c r="E306" s="1" t="s">
        <v>22</v>
      </c>
      <c r="F306" s="1" t="s">
        <v>43</v>
      </c>
      <c r="G306" s="1">
        <v>2004</v>
      </c>
      <c r="H306" s="1">
        <v>10</v>
      </c>
      <c r="I306" s="1">
        <v>4</v>
      </c>
      <c r="J306" s="1" t="s">
        <v>19</v>
      </c>
      <c r="K306" s="1" t="s">
        <v>29</v>
      </c>
      <c r="L306" s="1" t="s">
        <v>18</v>
      </c>
      <c r="M306" s="1" t="s">
        <v>29</v>
      </c>
      <c r="N306" s="1" t="s">
        <v>33</v>
      </c>
      <c r="O306" s="1" t="s">
        <v>29</v>
      </c>
      <c r="P306" s="1" t="s">
        <v>29</v>
      </c>
      <c r="Q306" s="1" t="s">
        <v>19</v>
      </c>
      <c r="R306" s="1" t="s">
        <v>29</v>
      </c>
      <c r="S306" s="1" t="s">
        <v>29</v>
      </c>
      <c r="T306" s="1" t="s">
        <v>14</v>
      </c>
      <c r="U306" s="1" t="s">
        <v>59</v>
      </c>
      <c r="V306" s="1" t="s">
        <v>14</v>
      </c>
      <c r="W306" s="1" t="s">
        <v>59</v>
      </c>
      <c r="X306" s="1">
        <v>1.5</v>
      </c>
      <c r="Y306" s="1">
        <v>60</v>
      </c>
      <c r="Z306" s="3">
        <f t="shared" si="8"/>
        <v>26.666666666666668</v>
      </c>
      <c r="AA306" s="1">
        <v>100</v>
      </c>
      <c r="AB306" s="1">
        <v>92</v>
      </c>
      <c r="AC306" s="3">
        <f t="shared" si="9"/>
        <v>0.92</v>
      </c>
      <c r="AD306" t="s">
        <v>189</v>
      </c>
      <c r="AE306">
        <v>114</v>
      </c>
      <c r="AF306">
        <v>16</v>
      </c>
      <c r="AG306">
        <v>37.1</v>
      </c>
      <c r="AH306">
        <v>6.1</v>
      </c>
    </row>
    <row r="307" spans="1:34" x14ac:dyDescent="0.25">
      <c r="A307" s="1">
        <v>305</v>
      </c>
      <c r="B307" s="1">
        <v>53</v>
      </c>
      <c r="C307" s="1" t="s">
        <v>11</v>
      </c>
      <c r="D307" s="1" t="s">
        <v>21</v>
      </c>
      <c r="E307" s="1" t="s">
        <v>36</v>
      </c>
      <c r="F307" s="1" t="s">
        <v>38</v>
      </c>
      <c r="G307" s="1">
        <v>2011</v>
      </c>
      <c r="H307" s="1">
        <v>3</v>
      </c>
      <c r="I307" s="1">
        <v>4</v>
      </c>
      <c r="J307" s="1" t="s">
        <v>14</v>
      </c>
      <c r="K307" s="1" t="s">
        <v>15</v>
      </c>
      <c r="L307" s="1" t="s">
        <v>16</v>
      </c>
      <c r="M307" s="1" t="s">
        <v>29</v>
      </c>
      <c r="N307" s="1" t="s">
        <v>25</v>
      </c>
      <c r="O307" s="1" t="s">
        <v>26</v>
      </c>
      <c r="P307" s="1" t="s">
        <v>40</v>
      </c>
      <c r="Q307" s="1" t="s">
        <v>14</v>
      </c>
      <c r="R307" s="1" t="s">
        <v>27</v>
      </c>
      <c r="S307" s="4" t="s">
        <v>61</v>
      </c>
      <c r="T307" s="1" t="s">
        <v>19</v>
      </c>
      <c r="U307" s="1" t="s">
        <v>29</v>
      </c>
      <c r="V307" s="1" t="s">
        <v>14</v>
      </c>
      <c r="W307" s="1" t="s">
        <v>59</v>
      </c>
      <c r="X307" s="1">
        <v>1.64</v>
      </c>
      <c r="Y307" s="1">
        <v>78</v>
      </c>
      <c r="Z307" s="3">
        <f t="shared" si="8"/>
        <v>29.000594883997625</v>
      </c>
      <c r="AA307" s="1">
        <v>106</v>
      </c>
      <c r="AB307" s="1">
        <v>105</v>
      </c>
      <c r="AC307" s="3">
        <f t="shared" si="9"/>
        <v>0.99056603773584906</v>
      </c>
      <c r="AD307" t="s">
        <v>326</v>
      </c>
      <c r="AE307">
        <v>97</v>
      </c>
      <c r="AF307">
        <v>18</v>
      </c>
      <c r="AG307">
        <v>37.1</v>
      </c>
      <c r="AH307">
        <v>8.5</v>
      </c>
    </row>
    <row r="308" spans="1:34" x14ac:dyDescent="0.25">
      <c r="A308" s="1">
        <v>306</v>
      </c>
      <c r="B308" s="1">
        <v>71</v>
      </c>
      <c r="C308" s="1" t="s">
        <v>32</v>
      </c>
      <c r="D308" s="1" t="s">
        <v>21</v>
      </c>
      <c r="E308" s="1" t="s">
        <v>22</v>
      </c>
      <c r="F308" s="1" t="s">
        <v>38</v>
      </c>
      <c r="G308" s="1">
        <v>1995</v>
      </c>
      <c r="H308" s="1">
        <v>19</v>
      </c>
      <c r="I308" s="1">
        <v>4</v>
      </c>
      <c r="J308" s="1" t="s">
        <v>14</v>
      </c>
      <c r="K308" s="1" t="s">
        <v>15</v>
      </c>
      <c r="L308" s="1" t="s">
        <v>18</v>
      </c>
      <c r="M308" s="1" t="s">
        <v>29</v>
      </c>
      <c r="N308" s="1" t="s">
        <v>33</v>
      </c>
      <c r="O308" s="1" t="s">
        <v>29</v>
      </c>
      <c r="P308" s="1" t="s">
        <v>29</v>
      </c>
      <c r="Q308" s="1" t="s">
        <v>19</v>
      </c>
      <c r="R308" s="1" t="s">
        <v>29</v>
      </c>
      <c r="S308" s="1" t="s">
        <v>29</v>
      </c>
      <c r="T308" s="1" t="s">
        <v>14</v>
      </c>
      <c r="U308" s="1" t="s">
        <v>75</v>
      </c>
      <c r="V308" s="1" t="s">
        <v>14</v>
      </c>
      <c r="W308" s="1" t="s">
        <v>46</v>
      </c>
      <c r="X308" s="1">
        <v>1.56</v>
      </c>
      <c r="Y308" s="1">
        <v>78</v>
      </c>
      <c r="Z308" s="3">
        <f t="shared" si="8"/>
        <v>32.051282051282051</v>
      </c>
      <c r="AA308" s="1">
        <v>121</v>
      </c>
      <c r="AB308" s="1">
        <v>116</v>
      </c>
      <c r="AC308" s="3">
        <f t="shared" si="9"/>
        <v>0.95867768595041325</v>
      </c>
      <c r="AD308" t="s">
        <v>327</v>
      </c>
      <c r="AE308">
        <v>82</v>
      </c>
      <c r="AF308">
        <v>14</v>
      </c>
      <c r="AG308">
        <v>36.9</v>
      </c>
      <c r="AH308">
        <v>9.3000000000000007</v>
      </c>
    </row>
    <row r="309" spans="1:34" x14ac:dyDescent="0.25">
      <c r="A309" s="1">
        <v>307</v>
      </c>
      <c r="B309" s="1">
        <v>60</v>
      </c>
      <c r="C309" s="1" t="s">
        <v>153</v>
      </c>
      <c r="D309" s="1" t="s">
        <v>21</v>
      </c>
      <c r="E309" s="1" t="s">
        <v>36</v>
      </c>
      <c r="F309" s="1" t="s">
        <v>23</v>
      </c>
      <c r="G309" s="1">
        <v>2000</v>
      </c>
      <c r="H309" s="1">
        <v>14</v>
      </c>
      <c r="I309" s="1">
        <v>4</v>
      </c>
      <c r="J309" s="1" t="s">
        <v>14</v>
      </c>
      <c r="K309" s="1" t="s">
        <v>15</v>
      </c>
      <c r="L309" s="1" t="s">
        <v>129</v>
      </c>
      <c r="M309" s="1" t="s">
        <v>17</v>
      </c>
      <c r="N309" s="1" t="s">
        <v>25</v>
      </c>
      <c r="O309" s="1" t="s">
        <v>26</v>
      </c>
      <c r="P309" s="1" t="s">
        <v>40</v>
      </c>
      <c r="Q309" s="1" t="s">
        <v>14</v>
      </c>
      <c r="R309" s="1" t="s">
        <v>27</v>
      </c>
      <c r="S309" s="4" t="s">
        <v>61</v>
      </c>
      <c r="T309" s="1" t="s">
        <v>19</v>
      </c>
      <c r="U309" s="1" t="s">
        <v>29</v>
      </c>
      <c r="V309" s="1" t="s">
        <v>19</v>
      </c>
      <c r="W309" s="1" t="s">
        <v>29</v>
      </c>
      <c r="X309" s="1">
        <v>1.67</v>
      </c>
      <c r="Y309" s="1">
        <v>72</v>
      </c>
      <c r="Z309" s="3">
        <f t="shared" si="8"/>
        <v>25.816630212628635</v>
      </c>
      <c r="AA309" s="1">
        <v>95</v>
      </c>
      <c r="AB309" s="1">
        <v>100</v>
      </c>
      <c r="AC309" s="3">
        <f t="shared" si="9"/>
        <v>1.0526315789473684</v>
      </c>
      <c r="AD309" t="s">
        <v>165</v>
      </c>
      <c r="AE309">
        <v>64</v>
      </c>
      <c r="AF309">
        <v>12</v>
      </c>
      <c r="AG309">
        <v>36.5</v>
      </c>
    </row>
    <row r="310" spans="1:34" x14ac:dyDescent="0.25">
      <c r="A310" s="1">
        <v>308</v>
      </c>
      <c r="B310" s="1">
        <v>59</v>
      </c>
      <c r="C310" s="1" t="s">
        <v>32</v>
      </c>
      <c r="D310" s="1" t="s">
        <v>42</v>
      </c>
      <c r="E310" s="1" t="s">
        <v>22</v>
      </c>
      <c r="F310" s="1" t="s">
        <v>38</v>
      </c>
      <c r="G310" s="1">
        <v>2001</v>
      </c>
      <c r="H310" s="1">
        <v>13</v>
      </c>
      <c r="I310" s="1">
        <v>4</v>
      </c>
      <c r="J310" s="1" t="s">
        <v>14</v>
      </c>
      <c r="K310" s="1" t="s">
        <v>15</v>
      </c>
      <c r="L310" s="1" t="s">
        <v>16</v>
      </c>
      <c r="M310" s="1" t="s">
        <v>17</v>
      </c>
      <c r="N310" s="1" t="s">
        <v>33</v>
      </c>
      <c r="O310" s="1" t="s">
        <v>29</v>
      </c>
      <c r="P310" s="1" t="s">
        <v>29</v>
      </c>
      <c r="Q310" s="1" t="s">
        <v>19</v>
      </c>
      <c r="R310" s="1" t="s">
        <v>29</v>
      </c>
      <c r="S310" s="1" t="s">
        <v>29</v>
      </c>
      <c r="T310" s="1" t="s">
        <v>19</v>
      </c>
      <c r="U310" s="1" t="s">
        <v>29</v>
      </c>
      <c r="V310" s="1" t="s">
        <v>19</v>
      </c>
      <c r="W310" s="1" t="s">
        <v>29</v>
      </c>
      <c r="X310" s="1">
        <v>1.51</v>
      </c>
      <c r="Y310" s="1">
        <v>79</v>
      </c>
      <c r="Z310" s="3">
        <f t="shared" si="8"/>
        <v>34.647603175299331</v>
      </c>
      <c r="AA310" s="1">
        <v>125</v>
      </c>
      <c r="AB310" s="1">
        <v>102</v>
      </c>
      <c r="AC310" s="3">
        <f t="shared" si="9"/>
        <v>0.81599999999999995</v>
      </c>
      <c r="AD310" t="s">
        <v>186</v>
      </c>
      <c r="AE310">
        <v>82</v>
      </c>
      <c r="AF310">
        <v>18</v>
      </c>
      <c r="AG310">
        <v>37.1</v>
      </c>
      <c r="AH310">
        <v>15.7</v>
      </c>
    </row>
    <row r="311" spans="1:34" x14ac:dyDescent="0.25">
      <c r="A311" s="1">
        <v>309</v>
      </c>
      <c r="B311" s="1">
        <v>60</v>
      </c>
      <c r="C311" s="1" t="s">
        <v>32</v>
      </c>
      <c r="D311" s="1" t="s">
        <v>21</v>
      </c>
      <c r="E311" s="1" t="s">
        <v>22</v>
      </c>
      <c r="F311" s="1" t="s">
        <v>23</v>
      </c>
      <c r="G311" s="1">
        <v>1992</v>
      </c>
      <c r="H311" s="1">
        <v>22</v>
      </c>
      <c r="I311" s="1">
        <v>4</v>
      </c>
      <c r="J311" s="1" t="s">
        <v>14</v>
      </c>
      <c r="K311" s="1" t="s">
        <v>15</v>
      </c>
      <c r="L311" s="1" t="s">
        <v>18</v>
      </c>
      <c r="M311" s="1" t="s">
        <v>29</v>
      </c>
      <c r="N311" s="1" t="s">
        <v>33</v>
      </c>
      <c r="O311" s="1" t="s">
        <v>29</v>
      </c>
      <c r="P311" s="1" t="s">
        <v>29</v>
      </c>
      <c r="Q311" s="1" t="s">
        <v>19</v>
      </c>
      <c r="R311" s="1" t="s">
        <v>29</v>
      </c>
      <c r="S311" s="1" t="s">
        <v>29</v>
      </c>
      <c r="T311" s="1" t="s">
        <v>14</v>
      </c>
      <c r="U311" s="1" t="s">
        <v>154</v>
      </c>
      <c r="V311" s="1" t="s">
        <v>19</v>
      </c>
      <c r="W311" s="1" t="s">
        <v>29</v>
      </c>
      <c r="X311" s="1">
        <v>1.47</v>
      </c>
      <c r="Y311" s="1">
        <v>55</v>
      </c>
      <c r="Z311" s="3">
        <f t="shared" si="8"/>
        <v>25.452357813873849</v>
      </c>
      <c r="AA311" s="1">
        <v>100</v>
      </c>
      <c r="AB311" s="1">
        <v>87</v>
      </c>
      <c r="AC311" s="3">
        <f t="shared" si="9"/>
        <v>0.87</v>
      </c>
      <c r="AD311" t="s">
        <v>168</v>
      </c>
      <c r="AE311">
        <v>58</v>
      </c>
      <c r="AF311">
        <v>16</v>
      </c>
      <c r="AG311">
        <v>36.799999999999997</v>
      </c>
      <c r="AH311">
        <v>7.7</v>
      </c>
    </row>
    <row r="312" spans="1:34" x14ac:dyDescent="0.25">
      <c r="A312" s="1">
        <v>310</v>
      </c>
      <c r="B312" s="1">
        <v>63</v>
      </c>
      <c r="C312" s="1" t="s">
        <v>32</v>
      </c>
      <c r="D312" s="1" t="s">
        <v>35</v>
      </c>
      <c r="E312" s="1" t="s">
        <v>36</v>
      </c>
      <c r="F312" s="1" t="s">
        <v>43</v>
      </c>
      <c r="G312" s="1">
        <v>2003</v>
      </c>
      <c r="H312" s="1">
        <v>11</v>
      </c>
      <c r="I312" s="1">
        <v>4</v>
      </c>
      <c r="J312" s="1" t="s">
        <v>19</v>
      </c>
      <c r="K312" s="1" t="s">
        <v>29</v>
      </c>
      <c r="L312" s="1" t="s">
        <v>16</v>
      </c>
      <c r="M312" s="1" t="s">
        <v>29</v>
      </c>
      <c r="N312" s="1" t="s">
        <v>33</v>
      </c>
      <c r="O312" s="1" t="s">
        <v>29</v>
      </c>
      <c r="P312" s="1" t="s">
        <v>29</v>
      </c>
      <c r="Q312" s="1" t="s">
        <v>19</v>
      </c>
      <c r="R312" s="1" t="s">
        <v>29</v>
      </c>
      <c r="S312" s="1" t="s">
        <v>29</v>
      </c>
      <c r="T312" s="1" t="s">
        <v>14</v>
      </c>
      <c r="U312" s="1" t="s">
        <v>53</v>
      </c>
      <c r="V312" s="1" t="s">
        <v>19</v>
      </c>
      <c r="W312" s="1" t="s">
        <v>29</v>
      </c>
      <c r="X312" s="1">
        <v>1.65</v>
      </c>
      <c r="Y312" s="1">
        <v>54</v>
      </c>
      <c r="Z312" s="3">
        <f t="shared" si="8"/>
        <v>19.834710743801654</v>
      </c>
      <c r="AA312" s="1">
        <v>92</v>
      </c>
      <c r="AB312" s="1">
        <v>80</v>
      </c>
      <c r="AC312" s="3">
        <f t="shared" si="9"/>
        <v>0.86956521739130432</v>
      </c>
      <c r="AD312" t="s">
        <v>328</v>
      </c>
      <c r="AE312">
        <v>85</v>
      </c>
      <c r="AF312">
        <v>12</v>
      </c>
      <c r="AG312">
        <v>36.700000000000003</v>
      </c>
      <c r="AH312">
        <v>12.1</v>
      </c>
    </row>
    <row r="313" spans="1:34" x14ac:dyDescent="0.25">
      <c r="A313" s="1">
        <v>311</v>
      </c>
      <c r="B313" s="1">
        <v>88</v>
      </c>
      <c r="C313" s="1" t="s">
        <v>11</v>
      </c>
      <c r="D313" s="1" t="s">
        <v>21</v>
      </c>
      <c r="E313" s="1" t="s">
        <v>36</v>
      </c>
      <c r="F313" s="1" t="s">
        <v>38</v>
      </c>
      <c r="G313" s="1">
        <v>2002</v>
      </c>
      <c r="H313" s="1">
        <v>12</v>
      </c>
      <c r="I313" s="1">
        <v>4</v>
      </c>
      <c r="J313" s="1" t="s">
        <v>19</v>
      </c>
      <c r="K313" s="1" t="s">
        <v>29</v>
      </c>
      <c r="L313" s="1" t="s">
        <v>16</v>
      </c>
      <c r="M313" s="1" t="s">
        <v>29</v>
      </c>
      <c r="N313" s="1" t="s">
        <v>25</v>
      </c>
      <c r="O313" s="1" t="s">
        <v>26</v>
      </c>
      <c r="P313" s="1" t="s">
        <v>40</v>
      </c>
      <c r="Q313" s="1" t="s">
        <v>14</v>
      </c>
      <c r="R313" s="1" t="s">
        <v>27</v>
      </c>
      <c r="S313" s="4" t="s">
        <v>61</v>
      </c>
      <c r="T313" s="1" t="s">
        <v>155</v>
      </c>
      <c r="U313" s="1" t="s">
        <v>29</v>
      </c>
      <c r="V313" s="1" t="s">
        <v>19</v>
      </c>
      <c r="W313" s="1" t="s">
        <v>29</v>
      </c>
      <c r="X313" s="1">
        <v>1.78</v>
      </c>
      <c r="Y313" s="1">
        <v>91</v>
      </c>
      <c r="Z313" s="3">
        <f t="shared" si="8"/>
        <v>28.721121070571897</v>
      </c>
      <c r="AA313" s="1">
        <v>102</v>
      </c>
      <c r="AB313" s="1">
        <v>113</v>
      </c>
      <c r="AC313" s="3">
        <f t="shared" si="9"/>
        <v>1.107843137254902</v>
      </c>
      <c r="AD313" t="s">
        <v>173</v>
      </c>
      <c r="AE313">
        <v>60</v>
      </c>
      <c r="AF313">
        <v>14</v>
      </c>
      <c r="AG313">
        <v>37.1</v>
      </c>
      <c r="AH313">
        <v>15.3</v>
      </c>
    </row>
    <row r="314" spans="1:34" x14ac:dyDescent="0.25">
      <c r="A314" s="1">
        <v>312</v>
      </c>
      <c r="B314" s="1">
        <v>46</v>
      </c>
      <c r="C314" s="1" t="s">
        <v>11</v>
      </c>
      <c r="D314" s="1" t="s">
        <v>21</v>
      </c>
      <c r="E314" s="1" t="s">
        <v>22</v>
      </c>
      <c r="F314" s="1" t="s">
        <v>43</v>
      </c>
      <c r="G314" s="1">
        <v>2013</v>
      </c>
      <c r="H314" s="1">
        <v>1</v>
      </c>
      <c r="I314" s="1">
        <v>4</v>
      </c>
      <c r="J314" s="1" t="s">
        <v>19</v>
      </c>
      <c r="K314" s="1" t="s">
        <v>29</v>
      </c>
      <c r="L314" s="1" t="s">
        <v>16</v>
      </c>
      <c r="M314" s="1" t="s">
        <v>29</v>
      </c>
      <c r="N314" s="1" t="s">
        <v>25</v>
      </c>
      <c r="O314" s="1" t="s">
        <v>57</v>
      </c>
      <c r="P314" s="1" t="s">
        <v>28</v>
      </c>
      <c r="Q314" s="1" t="s">
        <v>14</v>
      </c>
      <c r="R314" s="1" t="s">
        <v>58</v>
      </c>
      <c r="S314" s="1" t="s">
        <v>58</v>
      </c>
      <c r="T314" s="1" t="s">
        <v>14</v>
      </c>
      <c r="U314" s="1" t="s">
        <v>59</v>
      </c>
      <c r="V314" s="1" t="s">
        <v>19</v>
      </c>
      <c r="W314" s="1" t="s">
        <v>29</v>
      </c>
      <c r="X314" s="1">
        <v>1.6</v>
      </c>
      <c r="Y314" s="1">
        <v>61</v>
      </c>
      <c r="Z314" s="3">
        <f t="shared" si="8"/>
        <v>23.828124999999996</v>
      </c>
      <c r="AA314" s="1">
        <v>96</v>
      </c>
      <c r="AB314" s="1">
        <v>88</v>
      </c>
      <c r="AC314" s="3">
        <f t="shared" si="9"/>
        <v>0.91666666666666663</v>
      </c>
      <c r="AD314" t="s">
        <v>164</v>
      </c>
      <c r="AE314">
        <v>62</v>
      </c>
      <c r="AF314">
        <v>18</v>
      </c>
      <c r="AG314">
        <v>36.9</v>
      </c>
      <c r="AH314">
        <v>8.8000000000000007</v>
      </c>
    </row>
    <row r="315" spans="1:34" x14ac:dyDescent="0.25">
      <c r="A315" s="1">
        <v>313</v>
      </c>
      <c r="B315" s="1">
        <v>50</v>
      </c>
      <c r="C315" s="1" t="s">
        <v>32</v>
      </c>
      <c r="D315" s="1" t="s">
        <v>21</v>
      </c>
      <c r="E315" s="1" t="s">
        <v>22</v>
      </c>
      <c r="F315" s="1" t="s">
        <v>43</v>
      </c>
      <c r="G315" s="1">
        <v>2014</v>
      </c>
      <c r="H315" s="1">
        <v>1</v>
      </c>
      <c r="I315" s="1">
        <v>4</v>
      </c>
      <c r="J315" s="1" t="s">
        <v>19</v>
      </c>
      <c r="K315" s="1" t="s">
        <v>29</v>
      </c>
      <c r="L315" s="1" t="s">
        <v>16</v>
      </c>
      <c r="M315" s="1" t="s">
        <v>29</v>
      </c>
      <c r="N315" s="1" t="s">
        <v>33</v>
      </c>
      <c r="O315" s="1" t="s">
        <v>29</v>
      </c>
      <c r="P315" s="1" t="s">
        <v>29</v>
      </c>
      <c r="Q315" s="1" t="s">
        <v>19</v>
      </c>
      <c r="R315" s="1" t="s">
        <v>29</v>
      </c>
      <c r="S315" s="1" t="s">
        <v>29</v>
      </c>
      <c r="T315" s="1" t="s">
        <v>19</v>
      </c>
      <c r="U315" s="1" t="s">
        <v>29</v>
      </c>
      <c r="V315" s="1" t="s">
        <v>19</v>
      </c>
      <c r="W315" s="1" t="s">
        <v>29</v>
      </c>
      <c r="X315" s="1">
        <v>1.6</v>
      </c>
      <c r="Y315" s="1">
        <v>53</v>
      </c>
      <c r="Z315" s="3">
        <f t="shared" si="8"/>
        <v>20.703124999999996</v>
      </c>
      <c r="AA315" s="1">
        <v>94</v>
      </c>
      <c r="AB315" s="1">
        <v>80</v>
      </c>
      <c r="AC315" s="3">
        <f t="shared" si="9"/>
        <v>0.85106382978723405</v>
      </c>
      <c r="AD315" t="s">
        <v>329</v>
      </c>
      <c r="AE315">
        <v>66</v>
      </c>
      <c r="AF315">
        <v>12</v>
      </c>
      <c r="AG315">
        <v>37.1</v>
      </c>
      <c r="AH315">
        <v>9.5</v>
      </c>
    </row>
    <row r="316" spans="1:34" x14ac:dyDescent="0.25">
      <c r="A316" s="1">
        <v>314</v>
      </c>
      <c r="B316" s="1">
        <v>60</v>
      </c>
      <c r="C316" s="1" t="s">
        <v>32</v>
      </c>
      <c r="D316" s="1" t="s">
        <v>42</v>
      </c>
      <c r="E316" s="1" t="s">
        <v>37</v>
      </c>
      <c r="F316" s="1" t="s">
        <v>43</v>
      </c>
      <c r="G316" s="1">
        <v>2007</v>
      </c>
      <c r="H316" s="1">
        <v>7</v>
      </c>
      <c r="I316" s="1">
        <v>4</v>
      </c>
      <c r="J316" s="1" t="s">
        <v>14</v>
      </c>
      <c r="K316" s="1" t="s">
        <v>15</v>
      </c>
      <c r="L316" s="1" t="s">
        <v>16</v>
      </c>
      <c r="M316" s="1" t="s">
        <v>12</v>
      </c>
      <c r="N316" s="1" t="s">
        <v>33</v>
      </c>
      <c r="O316" s="1" t="s">
        <v>29</v>
      </c>
      <c r="P316" s="1" t="s">
        <v>29</v>
      </c>
      <c r="Q316" s="1" t="s">
        <v>19</v>
      </c>
      <c r="R316" s="1" t="s">
        <v>29</v>
      </c>
      <c r="S316" s="1" t="s">
        <v>29</v>
      </c>
      <c r="T316" s="1" t="s">
        <v>14</v>
      </c>
      <c r="U316" s="1" t="s">
        <v>59</v>
      </c>
      <c r="V316" s="1" t="s">
        <v>19</v>
      </c>
      <c r="W316" s="1" t="s">
        <v>29</v>
      </c>
      <c r="X316" s="1">
        <v>1.46</v>
      </c>
      <c r="Y316" s="1">
        <v>51</v>
      </c>
      <c r="Z316" s="3">
        <f t="shared" si="8"/>
        <v>23.925689622818542</v>
      </c>
      <c r="AA316" s="1">
        <v>100</v>
      </c>
      <c r="AB316" s="1">
        <v>92</v>
      </c>
      <c r="AC316" s="3">
        <f t="shared" si="9"/>
        <v>0.92</v>
      </c>
      <c r="AD316" t="s">
        <v>255</v>
      </c>
      <c r="AE316">
        <v>103</v>
      </c>
      <c r="AF316">
        <v>20</v>
      </c>
      <c r="AG316">
        <v>36.799999999999997</v>
      </c>
      <c r="AH316">
        <v>15.6</v>
      </c>
    </row>
    <row r="317" spans="1:34" x14ac:dyDescent="0.25">
      <c r="A317" s="1">
        <v>315</v>
      </c>
      <c r="B317" s="1">
        <v>36</v>
      </c>
      <c r="C317" s="1" t="s">
        <v>32</v>
      </c>
      <c r="D317" s="1" t="s">
        <v>21</v>
      </c>
      <c r="E317" s="1" t="s">
        <v>22</v>
      </c>
      <c r="F317" s="1" t="s">
        <v>43</v>
      </c>
      <c r="G317" s="1">
        <v>2013</v>
      </c>
      <c r="H317" s="1">
        <v>1</v>
      </c>
      <c r="I317" s="1">
        <v>5</v>
      </c>
      <c r="J317" s="1" t="s">
        <v>19</v>
      </c>
      <c r="K317" s="1" t="s">
        <v>29</v>
      </c>
      <c r="L317" s="1" t="s">
        <v>129</v>
      </c>
      <c r="M317" s="1" t="s">
        <v>29</v>
      </c>
      <c r="N317" s="1" t="s">
        <v>33</v>
      </c>
      <c r="O317" s="1" t="s">
        <v>29</v>
      </c>
      <c r="P317" s="1" t="s">
        <v>29</v>
      </c>
      <c r="Q317" s="1" t="s">
        <v>19</v>
      </c>
      <c r="R317" s="1" t="s">
        <v>29</v>
      </c>
      <c r="S317" s="1" t="s">
        <v>29</v>
      </c>
      <c r="T317" s="1" t="s">
        <v>14</v>
      </c>
      <c r="U317" s="1" t="s">
        <v>156</v>
      </c>
      <c r="V317" s="1" t="s">
        <v>19</v>
      </c>
      <c r="W317" s="1" t="s">
        <v>29</v>
      </c>
      <c r="X317" s="1">
        <v>1.72</v>
      </c>
      <c r="Y317" s="1">
        <v>70</v>
      </c>
      <c r="Z317" s="3">
        <f t="shared" si="8"/>
        <v>23.661438615467823</v>
      </c>
      <c r="AA317" s="1">
        <v>104</v>
      </c>
      <c r="AB317" s="1">
        <v>90</v>
      </c>
      <c r="AC317" s="3">
        <f t="shared" si="9"/>
        <v>0.86538461538461542</v>
      </c>
      <c r="AD317" t="s">
        <v>330</v>
      </c>
      <c r="AE317">
        <v>56</v>
      </c>
      <c r="AF317">
        <v>16</v>
      </c>
      <c r="AG317">
        <v>37.200000000000003</v>
      </c>
      <c r="AH317">
        <v>12.4</v>
      </c>
    </row>
    <row r="318" spans="1:34" x14ac:dyDescent="0.25">
      <c r="A318" s="1">
        <v>316</v>
      </c>
      <c r="B318" s="1">
        <v>72</v>
      </c>
      <c r="C318" s="1" t="s">
        <v>11</v>
      </c>
      <c r="D318" s="1" t="s">
        <v>21</v>
      </c>
      <c r="E318" s="1" t="s">
        <v>22</v>
      </c>
      <c r="F318" s="1" t="s">
        <v>38</v>
      </c>
      <c r="G318" s="1">
        <v>2004</v>
      </c>
      <c r="H318" s="1">
        <v>10</v>
      </c>
      <c r="I318" s="1">
        <v>4</v>
      </c>
      <c r="J318" s="1" t="s">
        <v>19</v>
      </c>
      <c r="K318" s="1" t="s">
        <v>29</v>
      </c>
      <c r="L318" s="1" t="s">
        <v>16</v>
      </c>
      <c r="M318" s="1" t="s">
        <v>29</v>
      </c>
      <c r="N318" s="1" t="s">
        <v>33</v>
      </c>
      <c r="O318" s="1" t="s">
        <v>29</v>
      </c>
      <c r="P318" s="1" t="s">
        <v>29</v>
      </c>
      <c r="Q318" s="1" t="s">
        <v>14</v>
      </c>
      <c r="R318" s="1" t="s">
        <v>157</v>
      </c>
      <c r="S318" s="29" t="s">
        <v>157</v>
      </c>
      <c r="T318" s="1" t="s">
        <v>19</v>
      </c>
      <c r="U318" s="1" t="s">
        <v>29</v>
      </c>
      <c r="V318" s="1" t="s">
        <v>19</v>
      </c>
      <c r="W318" s="1" t="s">
        <v>29</v>
      </c>
      <c r="X318" s="1">
        <v>1.64</v>
      </c>
      <c r="Y318" s="1">
        <v>77</v>
      </c>
      <c r="Z318" s="3">
        <f t="shared" si="8"/>
        <v>28.628792385484836</v>
      </c>
      <c r="AA318" s="1">
        <v>106</v>
      </c>
      <c r="AB318" s="1">
        <v>108</v>
      </c>
      <c r="AC318" s="3">
        <f t="shared" si="9"/>
        <v>1.0188679245283019</v>
      </c>
      <c r="AD318" t="s">
        <v>331</v>
      </c>
      <c r="AE318">
        <v>64</v>
      </c>
      <c r="AF318">
        <v>12</v>
      </c>
      <c r="AG318">
        <v>36.5</v>
      </c>
      <c r="AH318">
        <v>9.6</v>
      </c>
    </row>
    <row r="319" spans="1:34" x14ac:dyDescent="0.25">
      <c r="A319" s="1">
        <v>317</v>
      </c>
      <c r="B319" s="1">
        <v>64</v>
      </c>
      <c r="C319" s="1" t="s">
        <v>32</v>
      </c>
      <c r="D319" s="1" t="s">
        <v>42</v>
      </c>
      <c r="E319" s="1" t="s">
        <v>22</v>
      </c>
      <c r="F319" s="1" t="s">
        <v>43</v>
      </c>
      <c r="G319" s="1">
        <v>2011</v>
      </c>
      <c r="H319" s="1">
        <v>3</v>
      </c>
      <c r="I319" s="1">
        <v>4</v>
      </c>
      <c r="J319" s="1" t="s">
        <v>14</v>
      </c>
      <c r="K319" s="1" t="s">
        <v>15</v>
      </c>
      <c r="L319" s="1" t="s">
        <v>16</v>
      </c>
      <c r="M319" s="1" t="s">
        <v>17</v>
      </c>
      <c r="N319" s="1" t="s">
        <v>33</v>
      </c>
      <c r="O319" s="1" t="s">
        <v>29</v>
      </c>
      <c r="P319" s="1" t="s">
        <v>29</v>
      </c>
      <c r="Q319" s="1" t="s">
        <v>19</v>
      </c>
      <c r="R319" s="1" t="s">
        <v>29</v>
      </c>
      <c r="S319" s="1" t="s">
        <v>29</v>
      </c>
      <c r="T319" s="1" t="s">
        <v>14</v>
      </c>
      <c r="U319" s="1" t="s">
        <v>64</v>
      </c>
      <c r="V319" s="1" t="s">
        <v>19</v>
      </c>
      <c r="W319" s="1" t="s">
        <v>29</v>
      </c>
      <c r="X319" s="1">
        <v>1.58</v>
      </c>
      <c r="Y319" s="1">
        <v>58</v>
      </c>
      <c r="Z319" s="3">
        <f t="shared" si="8"/>
        <v>23.233456176894723</v>
      </c>
      <c r="AA319" s="1">
        <v>103</v>
      </c>
      <c r="AB319" s="1">
        <v>80</v>
      </c>
      <c r="AC319" s="3">
        <f t="shared" si="9"/>
        <v>0.77669902912621358</v>
      </c>
      <c r="AD319" t="s">
        <v>332</v>
      </c>
      <c r="AE319">
        <v>69</v>
      </c>
      <c r="AF319">
        <v>14</v>
      </c>
      <c r="AG319">
        <v>37</v>
      </c>
      <c r="AH319">
        <v>13.9</v>
      </c>
    </row>
    <row r="320" spans="1:34" x14ac:dyDescent="0.25">
      <c r="A320" s="1">
        <v>318</v>
      </c>
      <c r="B320" s="1">
        <v>43</v>
      </c>
      <c r="C320" s="1" t="s">
        <v>32</v>
      </c>
      <c r="D320" s="1" t="s">
        <v>35</v>
      </c>
      <c r="E320" s="1" t="s">
        <v>22</v>
      </c>
      <c r="F320" s="1" t="s">
        <v>38</v>
      </c>
      <c r="G320" s="1">
        <v>2004</v>
      </c>
      <c r="H320" s="1">
        <v>10</v>
      </c>
      <c r="I320" s="1">
        <v>4</v>
      </c>
      <c r="J320" s="1" t="s">
        <v>19</v>
      </c>
      <c r="K320" s="1" t="s">
        <v>29</v>
      </c>
      <c r="L320" s="1" t="s">
        <v>18</v>
      </c>
      <c r="M320" s="1" t="s">
        <v>29</v>
      </c>
      <c r="N320" s="1" t="s">
        <v>33</v>
      </c>
      <c r="O320" s="1" t="s">
        <v>29</v>
      </c>
      <c r="P320" s="1" t="s">
        <v>29</v>
      </c>
      <c r="Q320" s="1" t="s">
        <v>19</v>
      </c>
      <c r="R320" s="1" t="s">
        <v>29</v>
      </c>
      <c r="S320" s="1" t="s">
        <v>29</v>
      </c>
      <c r="T320" s="1" t="s">
        <v>14</v>
      </c>
      <c r="U320" s="1" t="s">
        <v>63</v>
      </c>
      <c r="V320" s="1" t="s">
        <v>19</v>
      </c>
      <c r="W320" s="1" t="s">
        <v>29</v>
      </c>
      <c r="X320" s="1">
        <v>1.54</v>
      </c>
      <c r="Y320" s="1">
        <v>50</v>
      </c>
      <c r="Z320" s="3">
        <f t="shared" si="8"/>
        <v>21.0828132906055</v>
      </c>
      <c r="AA320" s="1">
        <v>95</v>
      </c>
      <c r="AB320" s="1">
        <v>85</v>
      </c>
      <c r="AC320" s="3">
        <f t="shared" si="9"/>
        <v>0.89473684210526316</v>
      </c>
      <c r="AD320" t="s">
        <v>169</v>
      </c>
      <c r="AE320">
        <v>78</v>
      </c>
      <c r="AF320">
        <v>18</v>
      </c>
      <c r="AG320">
        <v>37.1</v>
      </c>
      <c r="AH320">
        <v>10.5</v>
      </c>
    </row>
    <row r="321" spans="1:34" x14ac:dyDescent="0.25">
      <c r="A321" s="1">
        <v>319</v>
      </c>
      <c r="B321" s="1">
        <v>56</v>
      </c>
      <c r="C321" s="1" t="s">
        <v>32</v>
      </c>
      <c r="D321" s="1" t="s">
        <v>21</v>
      </c>
      <c r="E321" s="1" t="s">
        <v>22</v>
      </c>
      <c r="F321" s="1" t="s">
        <v>43</v>
      </c>
      <c r="G321" s="1">
        <v>2006</v>
      </c>
      <c r="H321" s="1">
        <v>8</v>
      </c>
      <c r="I321" s="1">
        <v>4</v>
      </c>
      <c r="J321" s="1" t="s">
        <v>14</v>
      </c>
      <c r="K321" s="1" t="s">
        <v>15</v>
      </c>
      <c r="L321" s="1" t="s">
        <v>129</v>
      </c>
      <c r="M321" s="1" t="s">
        <v>29</v>
      </c>
      <c r="N321" s="1" t="s">
        <v>33</v>
      </c>
      <c r="O321" s="1" t="s">
        <v>29</v>
      </c>
      <c r="P321" s="1" t="s">
        <v>29</v>
      </c>
      <c r="Q321" s="1" t="s">
        <v>19</v>
      </c>
      <c r="R321" s="1" t="s">
        <v>29</v>
      </c>
      <c r="S321" s="1" t="s">
        <v>29</v>
      </c>
      <c r="T321" s="1" t="s">
        <v>14</v>
      </c>
      <c r="U321" s="1" t="s">
        <v>63</v>
      </c>
      <c r="V321" s="1" t="s">
        <v>14</v>
      </c>
      <c r="W321" s="1" t="s">
        <v>63</v>
      </c>
      <c r="X321" s="1">
        <v>1.46</v>
      </c>
      <c r="Y321" s="1">
        <v>57</v>
      </c>
      <c r="Z321" s="3">
        <f t="shared" si="8"/>
        <v>26.740476637267783</v>
      </c>
      <c r="AA321" s="1">
        <v>99</v>
      </c>
      <c r="AB321" s="1">
        <v>88</v>
      </c>
      <c r="AC321" s="3">
        <f t="shared" si="9"/>
        <v>0.88888888888888884</v>
      </c>
      <c r="AD321" t="s">
        <v>322</v>
      </c>
      <c r="AE321">
        <v>68</v>
      </c>
      <c r="AF321">
        <v>16</v>
      </c>
      <c r="AG321">
        <v>36.9</v>
      </c>
      <c r="AH321">
        <v>31.2</v>
      </c>
    </row>
    <row r="322" spans="1:34" x14ac:dyDescent="0.25">
      <c r="A322" s="1">
        <v>320</v>
      </c>
      <c r="B322" s="1">
        <v>69</v>
      </c>
      <c r="C322" s="1" t="s">
        <v>32</v>
      </c>
      <c r="D322" s="1" t="s">
        <v>42</v>
      </c>
      <c r="E322" s="1" t="s">
        <v>34</v>
      </c>
      <c r="F322" s="1" t="s">
        <v>23</v>
      </c>
      <c r="G322" s="1">
        <v>1984</v>
      </c>
      <c r="H322" s="1">
        <v>30</v>
      </c>
      <c r="I322" s="1">
        <v>4</v>
      </c>
      <c r="J322" s="1" t="s">
        <v>19</v>
      </c>
      <c r="K322" s="1" t="s">
        <v>29</v>
      </c>
      <c r="L322" s="1" t="s">
        <v>129</v>
      </c>
      <c r="M322" s="1" t="s">
        <v>17</v>
      </c>
      <c r="N322" s="1" t="s">
        <v>33</v>
      </c>
      <c r="O322" s="1" t="s">
        <v>29</v>
      </c>
      <c r="P322" s="1" t="s">
        <v>29</v>
      </c>
      <c r="Q322" s="1" t="s">
        <v>19</v>
      </c>
      <c r="R322" s="1" t="s">
        <v>29</v>
      </c>
      <c r="S322" s="1" t="s">
        <v>29</v>
      </c>
      <c r="T322" s="1" t="s">
        <v>14</v>
      </c>
      <c r="U322" s="1" t="s">
        <v>63</v>
      </c>
      <c r="V322" s="1" t="s">
        <v>19</v>
      </c>
      <c r="W322" s="1" t="s">
        <v>29</v>
      </c>
      <c r="X322" s="1">
        <v>1.63</v>
      </c>
      <c r="Y322" s="1">
        <v>69</v>
      </c>
      <c r="Z322" s="3">
        <f t="shared" si="8"/>
        <v>25.970115548195267</v>
      </c>
      <c r="AA322" s="1">
        <v>105</v>
      </c>
      <c r="AB322" s="1">
        <v>93</v>
      </c>
      <c r="AC322" s="3">
        <f t="shared" si="9"/>
        <v>0.88571428571428568</v>
      </c>
      <c r="AD322" t="s">
        <v>171</v>
      </c>
      <c r="AE322">
        <v>64</v>
      </c>
      <c r="AF322">
        <v>14</v>
      </c>
      <c r="AG322">
        <v>36.799999999999997</v>
      </c>
      <c r="AH322">
        <v>13.4</v>
      </c>
    </row>
    <row r="323" spans="1:34" x14ac:dyDescent="0.25">
      <c r="A323" s="1">
        <v>321</v>
      </c>
      <c r="B323" s="1">
        <v>67</v>
      </c>
      <c r="C323" s="1" t="s">
        <v>32</v>
      </c>
      <c r="D323" s="1" t="s">
        <v>42</v>
      </c>
      <c r="E323" s="1" t="s">
        <v>37</v>
      </c>
      <c r="F323" s="1" t="s">
        <v>43</v>
      </c>
      <c r="G323" s="1">
        <v>2011</v>
      </c>
      <c r="H323" s="1">
        <v>3</v>
      </c>
      <c r="I323" s="1">
        <v>4</v>
      </c>
      <c r="J323" s="1" t="s">
        <v>14</v>
      </c>
      <c r="K323" s="1" t="s">
        <v>15</v>
      </c>
      <c r="L323" s="1" t="s">
        <v>16</v>
      </c>
      <c r="M323" s="1" t="s">
        <v>16</v>
      </c>
      <c r="N323" s="1" t="s">
        <v>33</v>
      </c>
      <c r="O323" s="1" t="s">
        <v>29</v>
      </c>
      <c r="P323" s="1" t="s">
        <v>29</v>
      </c>
      <c r="Q323" s="1" t="s">
        <v>19</v>
      </c>
      <c r="R323" s="1" t="s">
        <v>29</v>
      </c>
      <c r="S323" s="1" t="s">
        <v>29</v>
      </c>
      <c r="T323" s="1" t="s">
        <v>19</v>
      </c>
      <c r="U323" s="1" t="s">
        <v>29</v>
      </c>
      <c r="V323" s="1" t="s">
        <v>19</v>
      </c>
      <c r="W323" s="1" t="s">
        <v>29</v>
      </c>
      <c r="X323" s="1">
        <v>1.58</v>
      </c>
      <c r="Y323" s="1">
        <v>88</v>
      </c>
      <c r="Z323" s="3">
        <f t="shared" si="8"/>
        <v>35.250761095978206</v>
      </c>
      <c r="AA323" s="1">
        <v>121</v>
      </c>
      <c r="AB323" s="1">
        <v>105</v>
      </c>
      <c r="AC323" s="3">
        <f t="shared" si="9"/>
        <v>0.86776859504132231</v>
      </c>
      <c r="AD323" t="s">
        <v>174</v>
      </c>
      <c r="AE323">
        <v>96</v>
      </c>
      <c r="AF323">
        <v>16</v>
      </c>
      <c r="AG323">
        <v>37</v>
      </c>
      <c r="AH323">
        <v>7.7</v>
      </c>
    </row>
    <row r="324" spans="1:34" x14ac:dyDescent="0.25">
      <c r="A324" s="1">
        <v>322</v>
      </c>
      <c r="B324" s="1">
        <v>49</v>
      </c>
      <c r="C324" s="1" t="s">
        <v>32</v>
      </c>
      <c r="D324" s="1" t="s">
        <v>42</v>
      </c>
      <c r="E324" s="1" t="s">
        <v>22</v>
      </c>
      <c r="F324" s="1" t="s">
        <v>43</v>
      </c>
      <c r="G324" s="1">
        <v>2011</v>
      </c>
      <c r="H324" s="1">
        <v>3</v>
      </c>
      <c r="I324" s="1">
        <v>4</v>
      </c>
      <c r="J324" s="1" t="s">
        <v>14</v>
      </c>
      <c r="K324" s="1" t="s">
        <v>15</v>
      </c>
      <c r="L324" s="1" t="s">
        <v>16</v>
      </c>
      <c r="M324" s="1" t="s">
        <v>17</v>
      </c>
      <c r="N324" s="1" t="s">
        <v>33</v>
      </c>
      <c r="O324" s="1" t="s">
        <v>29</v>
      </c>
      <c r="P324" s="1" t="s">
        <v>29</v>
      </c>
      <c r="Q324" s="1" t="s">
        <v>19</v>
      </c>
      <c r="R324" s="1" t="s">
        <v>29</v>
      </c>
      <c r="S324" s="1" t="s">
        <v>29</v>
      </c>
      <c r="T324" s="1" t="s">
        <v>14</v>
      </c>
      <c r="U324" s="1" t="s">
        <v>41</v>
      </c>
      <c r="V324" s="1" t="s">
        <v>14</v>
      </c>
      <c r="W324" s="1" t="s">
        <v>41</v>
      </c>
      <c r="X324" s="1">
        <v>1.48</v>
      </c>
      <c r="Y324" s="1">
        <v>49</v>
      </c>
      <c r="Z324" s="3">
        <f t="shared" ref="Z324:Z387" si="10">(Y324/(X324)^2)</f>
        <v>22.370343316289262</v>
      </c>
      <c r="AA324" s="1">
        <v>90</v>
      </c>
      <c r="AB324" s="1">
        <v>76</v>
      </c>
      <c r="AC324" s="3">
        <f t="shared" si="9"/>
        <v>0.84444444444444444</v>
      </c>
      <c r="AD324" t="s">
        <v>178</v>
      </c>
      <c r="AE324">
        <v>76</v>
      </c>
      <c r="AF324">
        <v>12</v>
      </c>
      <c r="AG324">
        <v>37.200000000000003</v>
      </c>
      <c r="AH324">
        <v>6.3</v>
      </c>
    </row>
    <row r="325" spans="1:34" x14ac:dyDescent="0.25">
      <c r="A325" s="1">
        <v>323</v>
      </c>
      <c r="B325" s="1">
        <v>63</v>
      </c>
      <c r="C325" s="1" t="s">
        <v>32</v>
      </c>
      <c r="D325" s="1" t="s">
        <v>42</v>
      </c>
      <c r="E325" s="1" t="s">
        <v>36</v>
      </c>
      <c r="F325" s="1" t="s">
        <v>23</v>
      </c>
      <c r="G325" s="1">
        <v>1995</v>
      </c>
      <c r="H325" s="1">
        <v>19</v>
      </c>
      <c r="I325" s="1">
        <v>4</v>
      </c>
      <c r="J325" s="1" t="s">
        <v>14</v>
      </c>
      <c r="K325" s="1" t="s">
        <v>15</v>
      </c>
      <c r="L325" s="1" t="s">
        <v>16</v>
      </c>
      <c r="M325" s="1" t="s">
        <v>29</v>
      </c>
      <c r="N325" s="1" t="s">
        <v>33</v>
      </c>
      <c r="O325" s="1" t="s">
        <v>29</v>
      </c>
      <c r="P325" s="1" t="s">
        <v>29</v>
      </c>
      <c r="Q325" s="1" t="s">
        <v>19</v>
      </c>
      <c r="R325" s="1" t="s">
        <v>29</v>
      </c>
      <c r="S325" s="1" t="s">
        <v>29</v>
      </c>
      <c r="T325" s="1" t="s">
        <v>14</v>
      </c>
      <c r="U325" s="1" t="s">
        <v>59</v>
      </c>
      <c r="V325" s="1" t="s">
        <v>14</v>
      </c>
      <c r="W325" s="1" t="s">
        <v>75</v>
      </c>
      <c r="X325" s="1">
        <v>1.61</v>
      </c>
      <c r="Y325" s="1">
        <v>60</v>
      </c>
      <c r="Z325" s="3">
        <f t="shared" si="10"/>
        <v>23.147255121330193</v>
      </c>
      <c r="AA325" s="1">
        <v>86</v>
      </c>
      <c r="AB325" s="1">
        <v>84</v>
      </c>
      <c r="AC325" s="3">
        <f t="shared" ref="AC325:AC388" si="11">AB325/AA325</f>
        <v>0.97674418604651159</v>
      </c>
      <c r="AD325" t="s">
        <v>263</v>
      </c>
      <c r="AE325">
        <v>78</v>
      </c>
      <c r="AF325">
        <v>18</v>
      </c>
      <c r="AG325">
        <v>36.5</v>
      </c>
      <c r="AH325">
        <v>19.2</v>
      </c>
    </row>
    <row r="326" spans="1:34" x14ac:dyDescent="0.25">
      <c r="A326" s="1">
        <v>324</v>
      </c>
      <c r="B326" s="1">
        <v>70</v>
      </c>
      <c r="C326" s="1" t="s">
        <v>11</v>
      </c>
      <c r="D326" s="1" t="s">
        <v>21</v>
      </c>
      <c r="E326" s="1" t="s">
        <v>34</v>
      </c>
      <c r="F326" s="1" t="s">
        <v>23</v>
      </c>
      <c r="G326" s="1">
        <v>2014</v>
      </c>
      <c r="H326" s="1">
        <v>1</v>
      </c>
      <c r="I326" s="1">
        <v>4</v>
      </c>
      <c r="J326" s="1" t="s">
        <v>19</v>
      </c>
      <c r="K326" s="1" t="s">
        <v>29</v>
      </c>
      <c r="L326" s="1" t="s">
        <v>16</v>
      </c>
      <c r="M326" s="1" t="s">
        <v>17</v>
      </c>
      <c r="N326" s="1" t="s">
        <v>25</v>
      </c>
      <c r="O326" s="1" t="s">
        <v>26</v>
      </c>
      <c r="P326" s="1" t="s">
        <v>40</v>
      </c>
      <c r="Q326" s="1" t="s">
        <v>14</v>
      </c>
      <c r="R326" s="1" t="s">
        <v>27</v>
      </c>
      <c r="S326" s="4" t="s">
        <v>61</v>
      </c>
      <c r="T326" s="1" t="s">
        <v>14</v>
      </c>
      <c r="U326" s="1" t="s">
        <v>41</v>
      </c>
      <c r="V326" s="1" t="s">
        <v>14</v>
      </c>
      <c r="W326" s="1" t="s">
        <v>41</v>
      </c>
      <c r="X326" s="1">
        <v>1.64</v>
      </c>
      <c r="Y326" s="1">
        <v>81</v>
      </c>
      <c r="Z326" s="3">
        <f t="shared" si="10"/>
        <v>30.116002379535995</v>
      </c>
      <c r="AA326" s="1">
        <v>106</v>
      </c>
      <c r="AB326" s="1">
        <v>99</v>
      </c>
      <c r="AC326" s="3">
        <f t="shared" si="11"/>
        <v>0.93396226415094341</v>
      </c>
      <c r="AD326" t="s">
        <v>333</v>
      </c>
      <c r="AE326">
        <v>82</v>
      </c>
      <c r="AF326">
        <v>12</v>
      </c>
      <c r="AG326">
        <v>36.9</v>
      </c>
      <c r="AH326">
        <v>7.3</v>
      </c>
    </row>
    <row r="327" spans="1:34" x14ac:dyDescent="0.25">
      <c r="A327" s="1">
        <v>325</v>
      </c>
      <c r="B327" s="1">
        <v>78</v>
      </c>
      <c r="C327" s="1" t="s">
        <v>32</v>
      </c>
      <c r="D327" s="1" t="s">
        <v>42</v>
      </c>
      <c r="E327" s="1" t="s">
        <v>37</v>
      </c>
      <c r="F327" s="1" t="s">
        <v>43</v>
      </c>
      <c r="G327" s="1">
        <v>2013</v>
      </c>
      <c r="H327" s="1">
        <v>1</v>
      </c>
      <c r="I327" s="1">
        <v>4</v>
      </c>
      <c r="J327" s="1" t="s">
        <v>19</v>
      </c>
      <c r="K327" s="1" t="s">
        <v>29</v>
      </c>
      <c r="L327" s="1" t="s">
        <v>16</v>
      </c>
      <c r="M327" s="1" t="s">
        <v>17</v>
      </c>
      <c r="N327" s="1" t="s">
        <v>33</v>
      </c>
      <c r="O327" s="1" t="s">
        <v>29</v>
      </c>
      <c r="P327" s="1" t="s">
        <v>29</v>
      </c>
      <c r="Q327" s="1" t="s">
        <v>19</v>
      </c>
      <c r="R327" s="1" t="s">
        <v>29</v>
      </c>
      <c r="S327" s="1" t="s">
        <v>29</v>
      </c>
      <c r="T327" s="1" t="s">
        <v>19</v>
      </c>
      <c r="U327" s="1" t="s">
        <v>29</v>
      </c>
      <c r="V327" s="1" t="s">
        <v>19</v>
      </c>
      <c r="W327" s="1" t="s">
        <v>29</v>
      </c>
      <c r="X327" s="1">
        <v>1.5</v>
      </c>
      <c r="Y327" s="1">
        <v>60</v>
      </c>
      <c r="Z327" s="3">
        <f t="shared" si="10"/>
        <v>26.666666666666668</v>
      </c>
      <c r="AA327" s="1">
        <v>102</v>
      </c>
      <c r="AB327" s="1">
        <v>91</v>
      </c>
      <c r="AC327" s="3">
        <f t="shared" si="11"/>
        <v>0.89215686274509809</v>
      </c>
      <c r="AD327" t="s">
        <v>169</v>
      </c>
      <c r="AE327">
        <v>86</v>
      </c>
      <c r="AF327">
        <v>14</v>
      </c>
      <c r="AG327">
        <v>37.1</v>
      </c>
      <c r="AH327">
        <v>6.5</v>
      </c>
    </row>
    <row r="328" spans="1:34" x14ac:dyDescent="0.25">
      <c r="A328" s="1">
        <v>326</v>
      </c>
      <c r="B328" s="1">
        <v>52</v>
      </c>
      <c r="C328" s="1" t="s">
        <v>32</v>
      </c>
      <c r="D328" s="1" t="s">
        <v>42</v>
      </c>
      <c r="E328" s="1" t="s">
        <v>37</v>
      </c>
      <c r="F328" s="1" t="s">
        <v>43</v>
      </c>
      <c r="G328" s="1">
        <v>2003</v>
      </c>
      <c r="H328" s="1">
        <v>9</v>
      </c>
      <c r="I328" s="1">
        <v>4</v>
      </c>
      <c r="J328" s="1" t="s">
        <v>19</v>
      </c>
      <c r="K328" s="1" t="s">
        <v>15</v>
      </c>
      <c r="L328" s="1" t="s">
        <v>129</v>
      </c>
      <c r="M328" s="1" t="s">
        <v>29</v>
      </c>
      <c r="N328" s="1" t="s">
        <v>33</v>
      </c>
      <c r="O328" s="1" t="s">
        <v>29</v>
      </c>
      <c r="P328" s="1" t="s">
        <v>29</v>
      </c>
      <c r="Q328" s="1" t="s">
        <v>19</v>
      </c>
      <c r="R328" s="1" t="s">
        <v>29</v>
      </c>
      <c r="S328" s="1" t="s">
        <v>29</v>
      </c>
      <c r="T328" s="1" t="s">
        <v>14</v>
      </c>
      <c r="U328" s="1" t="s">
        <v>75</v>
      </c>
      <c r="V328" s="1" t="s">
        <v>19</v>
      </c>
      <c r="W328" s="1" t="s">
        <v>29</v>
      </c>
      <c r="X328" s="1">
        <v>1.5</v>
      </c>
      <c r="Y328" s="1">
        <v>52</v>
      </c>
      <c r="Z328" s="3">
        <f t="shared" si="10"/>
        <v>23.111111111111111</v>
      </c>
      <c r="AA328" s="1">
        <v>95</v>
      </c>
      <c r="AB328" s="1">
        <v>80</v>
      </c>
      <c r="AC328" s="3">
        <f t="shared" si="11"/>
        <v>0.84210526315789469</v>
      </c>
      <c r="AD328" t="s">
        <v>168</v>
      </c>
      <c r="AE328">
        <v>80</v>
      </c>
      <c r="AF328">
        <v>16</v>
      </c>
      <c r="AG328">
        <v>37.1</v>
      </c>
      <c r="AH328">
        <v>13.5</v>
      </c>
    </row>
    <row r="329" spans="1:34" x14ac:dyDescent="0.25">
      <c r="A329" s="1">
        <v>327</v>
      </c>
      <c r="B329" s="1">
        <v>70</v>
      </c>
      <c r="C329" s="1" t="s">
        <v>32</v>
      </c>
      <c r="D329" s="1" t="s">
        <v>42</v>
      </c>
      <c r="E329" s="1" t="s">
        <v>37</v>
      </c>
      <c r="F329" s="1" t="s">
        <v>38</v>
      </c>
      <c r="G329" s="1">
        <v>1999</v>
      </c>
      <c r="H329" s="1">
        <v>15</v>
      </c>
      <c r="I329" s="1">
        <v>3</v>
      </c>
      <c r="J329" s="1" t="s">
        <v>19</v>
      </c>
      <c r="K329" s="1" t="s">
        <v>29</v>
      </c>
      <c r="L329" s="1" t="s">
        <v>16</v>
      </c>
      <c r="M329" s="1" t="s">
        <v>29</v>
      </c>
      <c r="N329" s="1" t="s">
        <v>33</v>
      </c>
      <c r="O329" s="1" t="s">
        <v>29</v>
      </c>
      <c r="P329" s="1" t="s">
        <v>29</v>
      </c>
      <c r="Q329" s="1" t="s">
        <v>19</v>
      </c>
      <c r="R329" s="1" t="s">
        <v>29</v>
      </c>
      <c r="S329" s="1" t="s">
        <v>29</v>
      </c>
      <c r="T329" s="1" t="s">
        <v>14</v>
      </c>
      <c r="U329" s="1" t="s">
        <v>53</v>
      </c>
      <c r="V329" s="1" t="s">
        <v>19</v>
      </c>
      <c r="W329" s="1" t="s">
        <v>29</v>
      </c>
      <c r="X329" s="1">
        <v>1.47</v>
      </c>
      <c r="Y329" s="1">
        <v>49</v>
      </c>
      <c r="Z329" s="3">
        <f t="shared" si="10"/>
        <v>22.67573696145125</v>
      </c>
      <c r="AA329" s="1">
        <v>95</v>
      </c>
      <c r="AB329" s="1">
        <v>84</v>
      </c>
      <c r="AC329" s="3">
        <f t="shared" si="11"/>
        <v>0.88421052631578945</v>
      </c>
      <c r="AD329" t="s">
        <v>334</v>
      </c>
      <c r="AE329">
        <v>78</v>
      </c>
      <c r="AF329">
        <v>14</v>
      </c>
      <c r="AG329">
        <v>36.700000000000003</v>
      </c>
      <c r="AH329">
        <v>5.4</v>
      </c>
    </row>
    <row r="330" spans="1:34" x14ac:dyDescent="0.25">
      <c r="A330" s="1">
        <v>328</v>
      </c>
      <c r="B330" s="1">
        <v>70</v>
      </c>
      <c r="C330" s="1" t="s">
        <v>32</v>
      </c>
      <c r="D330" s="1" t="s">
        <v>42</v>
      </c>
      <c r="E330" s="1" t="s">
        <v>22</v>
      </c>
      <c r="F330" s="1" t="s">
        <v>43</v>
      </c>
      <c r="G330" s="1">
        <v>2010</v>
      </c>
      <c r="H330" s="1">
        <v>4</v>
      </c>
      <c r="I330" s="1">
        <v>4</v>
      </c>
      <c r="J330" s="1" t="s">
        <v>19</v>
      </c>
      <c r="K330" s="1" t="s">
        <v>29</v>
      </c>
      <c r="L330" s="1" t="s">
        <v>16</v>
      </c>
      <c r="M330" s="1" t="s">
        <v>29</v>
      </c>
      <c r="N330" s="1" t="s">
        <v>33</v>
      </c>
      <c r="O330" s="1" t="s">
        <v>29</v>
      </c>
      <c r="P330" s="1" t="s">
        <v>29</v>
      </c>
      <c r="Q330" s="1" t="s">
        <v>19</v>
      </c>
      <c r="R330" s="1" t="s">
        <v>29</v>
      </c>
      <c r="S330" s="1" t="s">
        <v>29</v>
      </c>
      <c r="T330" s="1" t="s">
        <v>19</v>
      </c>
      <c r="U330" s="1" t="s">
        <v>29</v>
      </c>
      <c r="V330" s="1" t="s">
        <v>19</v>
      </c>
      <c r="W330" s="1" t="s">
        <v>29</v>
      </c>
      <c r="X330" s="1">
        <v>1.5</v>
      </c>
      <c r="Y330" s="1">
        <v>75</v>
      </c>
      <c r="Z330" s="3">
        <f t="shared" si="10"/>
        <v>33.333333333333336</v>
      </c>
      <c r="AA330" s="1">
        <v>118</v>
      </c>
      <c r="AB330" s="1">
        <v>99</v>
      </c>
      <c r="AC330" s="3">
        <f t="shared" si="11"/>
        <v>0.83898305084745761</v>
      </c>
      <c r="AD330" t="s">
        <v>335</v>
      </c>
      <c r="AE330">
        <v>90</v>
      </c>
      <c r="AF330">
        <v>20</v>
      </c>
      <c r="AG330">
        <v>36.799999999999997</v>
      </c>
      <c r="AH330">
        <v>5.8</v>
      </c>
    </row>
    <row r="331" spans="1:34" x14ac:dyDescent="0.25">
      <c r="A331" s="1">
        <v>329</v>
      </c>
      <c r="B331" s="1">
        <v>62</v>
      </c>
      <c r="C331" s="1" t="s">
        <v>32</v>
      </c>
      <c r="D331" s="1" t="s">
        <v>21</v>
      </c>
      <c r="E331" s="1" t="s">
        <v>22</v>
      </c>
      <c r="F331" s="1" t="s">
        <v>38</v>
      </c>
      <c r="G331" s="1">
        <v>2002</v>
      </c>
      <c r="H331" s="1">
        <v>12</v>
      </c>
      <c r="I331" s="1">
        <v>4</v>
      </c>
      <c r="J331" s="1" t="s">
        <v>14</v>
      </c>
      <c r="K331" s="1" t="s">
        <v>15</v>
      </c>
      <c r="L331" s="1" t="s">
        <v>129</v>
      </c>
      <c r="M331" s="1" t="s">
        <v>12</v>
      </c>
      <c r="N331" s="1" t="s">
        <v>33</v>
      </c>
      <c r="O331" s="1" t="s">
        <v>29</v>
      </c>
      <c r="P331" s="1" t="s">
        <v>29</v>
      </c>
      <c r="Q331" s="1" t="s">
        <v>19</v>
      </c>
      <c r="R331" s="1" t="s">
        <v>29</v>
      </c>
      <c r="S331" s="1" t="s">
        <v>29</v>
      </c>
      <c r="T331" s="1" t="s">
        <v>14</v>
      </c>
      <c r="U331" s="1" t="s">
        <v>41</v>
      </c>
      <c r="V331" s="1" t="s">
        <v>19</v>
      </c>
      <c r="W331" s="1" t="s">
        <v>29</v>
      </c>
      <c r="X331" s="1">
        <v>1.65</v>
      </c>
      <c r="Y331" s="1">
        <v>77</v>
      </c>
      <c r="Z331" s="3">
        <f t="shared" si="10"/>
        <v>28.282828282828287</v>
      </c>
      <c r="AA331" s="1">
        <v>106</v>
      </c>
      <c r="AB331" s="1">
        <v>96</v>
      </c>
      <c r="AC331" s="3">
        <f t="shared" si="11"/>
        <v>0.90566037735849059</v>
      </c>
      <c r="AD331" t="s">
        <v>207</v>
      </c>
      <c r="AE331">
        <v>102</v>
      </c>
      <c r="AF331">
        <v>18</v>
      </c>
      <c r="AG331">
        <v>36.4</v>
      </c>
    </row>
    <row r="332" spans="1:34" x14ac:dyDescent="0.25">
      <c r="A332" s="1">
        <v>330</v>
      </c>
      <c r="B332" s="1">
        <v>54</v>
      </c>
      <c r="C332" s="1" t="s">
        <v>11</v>
      </c>
      <c r="D332" s="1" t="s">
        <v>21</v>
      </c>
      <c r="E332" s="1" t="s">
        <v>22</v>
      </c>
      <c r="F332" s="1" t="s">
        <v>23</v>
      </c>
      <c r="G332" s="1">
        <v>2012</v>
      </c>
      <c r="H332" s="1">
        <v>2</v>
      </c>
      <c r="I332" s="1">
        <v>4</v>
      </c>
      <c r="J332" s="1" t="s">
        <v>14</v>
      </c>
      <c r="K332" s="1" t="s">
        <v>15</v>
      </c>
      <c r="L332" s="1" t="s">
        <v>129</v>
      </c>
      <c r="M332" s="1" t="s">
        <v>12</v>
      </c>
      <c r="N332" s="1" t="s">
        <v>25</v>
      </c>
      <c r="O332" s="1" t="s">
        <v>26</v>
      </c>
      <c r="P332" s="1" t="s">
        <v>40</v>
      </c>
      <c r="Q332" s="1" t="s">
        <v>19</v>
      </c>
      <c r="R332" s="1" t="s">
        <v>29</v>
      </c>
      <c r="S332" s="1" t="s">
        <v>29</v>
      </c>
      <c r="T332" s="1" t="s">
        <v>14</v>
      </c>
      <c r="U332" s="1" t="s">
        <v>41</v>
      </c>
      <c r="V332" s="1" t="s">
        <v>14</v>
      </c>
      <c r="W332" s="1" t="s">
        <v>75</v>
      </c>
      <c r="X332" s="1">
        <v>1.55</v>
      </c>
      <c r="Y332" s="1">
        <v>77</v>
      </c>
      <c r="Z332" s="3">
        <f t="shared" si="10"/>
        <v>32.049947970863677</v>
      </c>
      <c r="AA332" s="1">
        <v>106</v>
      </c>
      <c r="AB332" s="1">
        <v>104</v>
      </c>
      <c r="AC332" s="3">
        <f t="shared" si="11"/>
        <v>0.98113207547169812</v>
      </c>
      <c r="AD332" t="s">
        <v>336</v>
      </c>
      <c r="AE332">
        <v>76</v>
      </c>
      <c r="AF332">
        <v>14</v>
      </c>
      <c r="AG332">
        <v>37</v>
      </c>
      <c r="AH332">
        <v>4.5999999999999996</v>
      </c>
    </row>
    <row r="333" spans="1:34" x14ac:dyDescent="0.25">
      <c r="A333" s="1">
        <v>331</v>
      </c>
      <c r="B333" s="1">
        <v>55</v>
      </c>
      <c r="C333" s="1" t="s">
        <v>32</v>
      </c>
      <c r="D333" s="1" t="s">
        <v>21</v>
      </c>
      <c r="E333" s="1" t="s">
        <v>36</v>
      </c>
      <c r="F333" s="1" t="s">
        <v>50</v>
      </c>
      <c r="G333" s="1">
        <v>1985</v>
      </c>
      <c r="H333" s="1">
        <v>29</v>
      </c>
      <c r="I333" s="1">
        <v>4</v>
      </c>
      <c r="J333" s="1" t="s">
        <v>14</v>
      </c>
      <c r="K333" s="1" t="s">
        <v>15</v>
      </c>
      <c r="L333" s="1" t="s">
        <v>16</v>
      </c>
      <c r="M333" s="1" t="s">
        <v>17</v>
      </c>
      <c r="N333" s="1" t="s">
        <v>33</v>
      </c>
      <c r="O333" s="1" t="s">
        <v>29</v>
      </c>
      <c r="P333" s="1" t="s">
        <v>29</v>
      </c>
      <c r="Q333" s="1" t="s">
        <v>19</v>
      </c>
      <c r="R333" s="1" t="s">
        <v>29</v>
      </c>
      <c r="S333" s="1" t="s">
        <v>29</v>
      </c>
      <c r="T333" s="1" t="s">
        <v>14</v>
      </c>
      <c r="U333" s="1" t="s">
        <v>53</v>
      </c>
      <c r="V333" s="1" t="s">
        <v>19</v>
      </c>
      <c r="W333" s="1" t="s">
        <v>29</v>
      </c>
      <c r="X333" s="1">
        <v>1.6</v>
      </c>
      <c r="Y333" s="1">
        <v>82</v>
      </c>
      <c r="Z333" s="3">
        <f t="shared" si="10"/>
        <v>32.031249999999993</v>
      </c>
      <c r="AA333" s="1">
        <v>115</v>
      </c>
      <c r="AB333" s="1">
        <v>105</v>
      </c>
      <c r="AC333" s="3">
        <f t="shared" si="11"/>
        <v>0.91304347826086951</v>
      </c>
      <c r="AD333" t="s">
        <v>337</v>
      </c>
      <c r="AE333">
        <v>80</v>
      </c>
      <c r="AF333">
        <v>14</v>
      </c>
      <c r="AG333">
        <v>36.9</v>
      </c>
      <c r="AH333">
        <v>13.3</v>
      </c>
    </row>
    <row r="334" spans="1:34" x14ac:dyDescent="0.25">
      <c r="A334" s="1">
        <v>332</v>
      </c>
      <c r="B334" s="1">
        <v>48</v>
      </c>
      <c r="C334" s="1" t="s">
        <v>32</v>
      </c>
      <c r="D334" s="1" t="s">
        <v>35</v>
      </c>
      <c r="E334" s="1" t="s">
        <v>36</v>
      </c>
      <c r="F334" s="1" t="s">
        <v>43</v>
      </c>
      <c r="G334" s="1">
        <v>2011</v>
      </c>
      <c r="H334" s="1">
        <v>3</v>
      </c>
      <c r="I334" s="1">
        <v>4</v>
      </c>
      <c r="J334" s="1" t="s">
        <v>14</v>
      </c>
      <c r="K334" s="1" t="s">
        <v>15</v>
      </c>
      <c r="L334" s="1" t="s">
        <v>12</v>
      </c>
      <c r="M334" s="1" t="s">
        <v>29</v>
      </c>
      <c r="N334" s="1" t="s">
        <v>33</v>
      </c>
      <c r="O334" s="1" t="s">
        <v>29</v>
      </c>
      <c r="P334" s="1" t="s">
        <v>29</v>
      </c>
      <c r="Q334" s="1" t="s">
        <v>19</v>
      </c>
      <c r="R334" s="1" t="s">
        <v>29</v>
      </c>
      <c r="S334" s="1" t="s">
        <v>29</v>
      </c>
      <c r="T334" s="1" t="s">
        <v>19</v>
      </c>
      <c r="U334" s="1" t="s">
        <v>29</v>
      </c>
      <c r="V334" s="1" t="s">
        <v>14</v>
      </c>
      <c r="W334" s="1" t="s">
        <v>75</v>
      </c>
      <c r="X334" s="1">
        <v>1.53</v>
      </c>
      <c r="Y334" s="1">
        <v>60</v>
      </c>
      <c r="Z334" s="3">
        <f t="shared" si="10"/>
        <v>25.631167499679609</v>
      </c>
      <c r="AA334" s="1">
        <v>104</v>
      </c>
      <c r="AB334" s="1">
        <v>94</v>
      </c>
      <c r="AC334" s="3">
        <f t="shared" si="11"/>
        <v>0.90384615384615385</v>
      </c>
      <c r="AD334" t="s">
        <v>338</v>
      </c>
      <c r="AE334">
        <v>78</v>
      </c>
      <c r="AF334">
        <v>16</v>
      </c>
      <c r="AG334">
        <v>37.1</v>
      </c>
      <c r="AH334">
        <v>5.3</v>
      </c>
    </row>
    <row r="335" spans="1:34" x14ac:dyDescent="0.25">
      <c r="A335" s="1">
        <v>333</v>
      </c>
      <c r="B335" s="1">
        <v>70</v>
      </c>
      <c r="C335" s="1" t="s">
        <v>32</v>
      </c>
      <c r="D335" s="1" t="s">
        <v>42</v>
      </c>
      <c r="E335" s="1" t="s">
        <v>22</v>
      </c>
      <c r="F335" s="1" t="s">
        <v>43</v>
      </c>
      <c r="G335" s="1">
        <v>1984</v>
      </c>
      <c r="H335" s="1">
        <v>30</v>
      </c>
      <c r="I335" s="1">
        <v>4</v>
      </c>
      <c r="J335" s="1" t="s">
        <v>14</v>
      </c>
      <c r="K335" s="1" t="s">
        <v>15</v>
      </c>
      <c r="L335" s="1" t="s">
        <v>129</v>
      </c>
      <c r="M335" s="1" t="s">
        <v>29</v>
      </c>
      <c r="N335" s="1" t="s">
        <v>33</v>
      </c>
      <c r="O335" s="1" t="s">
        <v>29</v>
      </c>
      <c r="P335" s="1" t="s">
        <v>29</v>
      </c>
      <c r="Q335" s="1" t="s">
        <v>19</v>
      </c>
      <c r="R335" s="1" t="s">
        <v>29</v>
      </c>
      <c r="S335" s="1" t="s">
        <v>29</v>
      </c>
      <c r="T335" s="1" t="s">
        <v>19</v>
      </c>
      <c r="U335" s="1" t="s">
        <v>29</v>
      </c>
      <c r="V335" s="1" t="s">
        <v>19</v>
      </c>
      <c r="W335" s="1" t="s">
        <v>29</v>
      </c>
      <c r="X335" s="1">
        <v>1.5</v>
      </c>
      <c r="Y335" s="1">
        <v>53</v>
      </c>
      <c r="Z335" s="3">
        <f t="shared" si="10"/>
        <v>23.555555555555557</v>
      </c>
      <c r="AA335" s="1">
        <v>101</v>
      </c>
      <c r="AB335" s="1">
        <v>98</v>
      </c>
      <c r="AC335" s="3">
        <f t="shared" si="11"/>
        <v>0.97029702970297027</v>
      </c>
      <c r="AD335" t="s">
        <v>339</v>
      </c>
      <c r="AE335">
        <v>86</v>
      </c>
      <c r="AF335">
        <v>18</v>
      </c>
      <c r="AG335">
        <v>36.700000000000003</v>
      </c>
      <c r="AH335">
        <v>6.2</v>
      </c>
    </row>
    <row r="336" spans="1:34" x14ac:dyDescent="0.25">
      <c r="A336" s="1">
        <v>334</v>
      </c>
      <c r="B336" s="1">
        <v>60</v>
      </c>
      <c r="C336" s="1" t="s">
        <v>32</v>
      </c>
      <c r="D336" s="1" t="s">
        <v>42</v>
      </c>
      <c r="E336" s="1" t="s">
        <v>37</v>
      </c>
      <c r="F336" s="1" t="s">
        <v>38</v>
      </c>
      <c r="G336" s="1">
        <v>1996</v>
      </c>
      <c r="H336" s="1">
        <v>18</v>
      </c>
      <c r="I336" s="1">
        <v>2</v>
      </c>
      <c r="J336" s="1" t="s">
        <v>14</v>
      </c>
      <c r="K336" s="1" t="s">
        <v>15</v>
      </c>
      <c r="L336" s="1" t="s">
        <v>18</v>
      </c>
      <c r="M336" s="1" t="s">
        <v>12</v>
      </c>
      <c r="N336" s="1" t="s">
        <v>33</v>
      </c>
      <c r="O336" s="1" t="s">
        <v>29</v>
      </c>
      <c r="P336" s="1" t="s">
        <v>29</v>
      </c>
      <c r="Q336" s="1" t="s">
        <v>19</v>
      </c>
      <c r="R336" s="1" t="s">
        <v>29</v>
      </c>
      <c r="S336" s="1" t="s">
        <v>29</v>
      </c>
      <c r="T336" s="1" t="s">
        <v>19</v>
      </c>
      <c r="U336" s="1" t="s">
        <v>29</v>
      </c>
      <c r="V336" s="1" t="s">
        <v>19</v>
      </c>
      <c r="W336" s="1" t="s">
        <v>29</v>
      </c>
      <c r="X336" s="1">
        <v>1.56</v>
      </c>
      <c r="Y336" s="1">
        <v>60</v>
      </c>
      <c r="Z336" s="3">
        <f t="shared" si="10"/>
        <v>24.654832347140037</v>
      </c>
      <c r="AA336" s="1">
        <v>110</v>
      </c>
      <c r="AB336" s="1">
        <v>96</v>
      </c>
      <c r="AC336" s="3">
        <f t="shared" si="11"/>
        <v>0.87272727272727268</v>
      </c>
      <c r="AD336" t="s">
        <v>178</v>
      </c>
      <c r="AE336">
        <v>80</v>
      </c>
      <c r="AF336">
        <v>20</v>
      </c>
      <c r="AG336">
        <v>36.799999999999997</v>
      </c>
    </row>
    <row r="337" spans="1:34" x14ac:dyDescent="0.25">
      <c r="A337" s="1">
        <v>335</v>
      </c>
      <c r="B337" s="1">
        <v>73</v>
      </c>
      <c r="C337" s="1" t="s">
        <v>32</v>
      </c>
      <c r="D337" s="1" t="s">
        <v>42</v>
      </c>
      <c r="E337" s="1" t="s">
        <v>22</v>
      </c>
      <c r="F337" s="1" t="s">
        <v>43</v>
      </c>
      <c r="G337" s="1">
        <v>2012</v>
      </c>
      <c r="H337" s="1">
        <v>2</v>
      </c>
      <c r="I337" s="1">
        <v>4</v>
      </c>
      <c r="J337" s="1" t="s">
        <v>14</v>
      </c>
      <c r="K337" s="1" t="s">
        <v>15</v>
      </c>
      <c r="L337" s="1" t="s">
        <v>16</v>
      </c>
      <c r="M337" s="1" t="s">
        <v>12</v>
      </c>
      <c r="N337" s="1" t="s">
        <v>33</v>
      </c>
      <c r="O337" s="1" t="s">
        <v>29</v>
      </c>
      <c r="P337" s="1" t="s">
        <v>29</v>
      </c>
      <c r="Q337" s="1" t="s">
        <v>19</v>
      </c>
      <c r="R337" s="1" t="s">
        <v>29</v>
      </c>
      <c r="S337" s="1" t="s">
        <v>29</v>
      </c>
      <c r="T337" s="1" t="s">
        <v>14</v>
      </c>
      <c r="U337" s="1" t="s">
        <v>59</v>
      </c>
      <c r="V337" s="1" t="s">
        <v>19</v>
      </c>
      <c r="W337" s="1" t="s">
        <v>29</v>
      </c>
      <c r="X337" s="1">
        <v>1.45</v>
      </c>
      <c r="Y337" s="1">
        <v>38</v>
      </c>
      <c r="Z337" s="3">
        <f t="shared" si="10"/>
        <v>18.07372175980975</v>
      </c>
      <c r="AA337" s="1">
        <v>79</v>
      </c>
      <c r="AB337" s="1">
        <v>89</v>
      </c>
      <c r="AC337" s="3">
        <f t="shared" si="11"/>
        <v>1.1265822784810127</v>
      </c>
      <c r="AD337" t="s">
        <v>214</v>
      </c>
      <c r="AE337">
        <v>96</v>
      </c>
      <c r="AF337">
        <v>14</v>
      </c>
      <c r="AG337">
        <v>37.1</v>
      </c>
      <c r="AH337">
        <v>6.8</v>
      </c>
    </row>
    <row r="338" spans="1:34" x14ac:dyDescent="0.25">
      <c r="A338" s="1">
        <v>336</v>
      </c>
      <c r="B338" s="1">
        <v>70</v>
      </c>
      <c r="C338" s="1" t="s">
        <v>11</v>
      </c>
      <c r="D338" s="1" t="s">
        <v>21</v>
      </c>
      <c r="E338" s="1" t="s">
        <v>34</v>
      </c>
      <c r="F338" s="1" t="s">
        <v>23</v>
      </c>
      <c r="G338" s="1">
        <v>2008</v>
      </c>
      <c r="H338" s="1">
        <v>6</v>
      </c>
      <c r="I338" s="1">
        <v>4</v>
      </c>
      <c r="J338" s="1" t="s">
        <v>14</v>
      </c>
      <c r="K338" s="1" t="s">
        <v>15</v>
      </c>
      <c r="L338" s="1" t="s">
        <v>16</v>
      </c>
      <c r="M338" s="1" t="s">
        <v>29</v>
      </c>
      <c r="N338" s="1" t="s">
        <v>25</v>
      </c>
      <c r="O338" s="1" t="s">
        <v>26</v>
      </c>
      <c r="P338" s="1" t="s">
        <v>40</v>
      </c>
      <c r="Q338" s="1" t="s">
        <v>14</v>
      </c>
      <c r="R338" s="1" t="s">
        <v>27</v>
      </c>
      <c r="S338" s="1" t="s">
        <v>27</v>
      </c>
      <c r="T338" s="1" t="s">
        <v>14</v>
      </c>
      <c r="U338" s="1" t="s">
        <v>59</v>
      </c>
      <c r="V338" s="1" t="s">
        <v>19</v>
      </c>
      <c r="W338" s="1" t="s">
        <v>29</v>
      </c>
      <c r="X338" s="1">
        <v>1.6</v>
      </c>
      <c r="Y338" s="1">
        <v>53</v>
      </c>
      <c r="Z338" s="3">
        <f t="shared" si="10"/>
        <v>20.703124999999996</v>
      </c>
      <c r="AA338" s="1">
        <v>86</v>
      </c>
      <c r="AB338" s="1">
        <v>93</v>
      </c>
      <c r="AC338" s="3">
        <f t="shared" si="11"/>
        <v>1.0813953488372092</v>
      </c>
      <c r="AD338" t="s">
        <v>340</v>
      </c>
      <c r="AE338">
        <v>100</v>
      </c>
      <c r="AF338">
        <v>18</v>
      </c>
      <c r="AG338">
        <v>36.9</v>
      </c>
      <c r="AH338">
        <v>6.6</v>
      </c>
    </row>
    <row r="339" spans="1:34" x14ac:dyDescent="0.25">
      <c r="A339" s="1">
        <v>337</v>
      </c>
      <c r="B339" s="1">
        <v>82</v>
      </c>
      <c r="C339" s="1" t="s">
        <v>32</v>
      </c>
      <c r="D339" s="1" t="s">
        <v>21</v>
      </c>
      <c r="E339" s="1" t="s">
        <v>22</v>
      </c>
      <c r="F339" s="1" t="s">
        <v>38</v>
      </c>
      <c r="G339" s="1">
        <v>1984</v>
      </c>
      <c r="H339" s="1">
        <v>30</v>
      </c>
      <c r="I339" s="1">
        <v>4</v>
      </c>
      <c r="J339" s="1" t="s">
        <v>14</v>
      </c>
      <c r="K339" s="1" t="s">
        <v>15</v>
      </c>
      <c r="L339" s="1" t="s">
        <v>16</v>
      </c>
      <c r="M339" s="1" t="s">
        <v>12</v>
      </c>
      <c r="N339" s="1" t="s">
        <v>33</v>
      </c>
      <c r="O339" s="1" t="s">
        <v>29</v>
      </c>
      <c r="P339" s="1" t="s">
        <v>29</v>
      </c>
      <c r="Q339" s="1" t="s">
        <v>19</v>
      </c>
      <c r="R339" s="1" t="s">
        <v>29</v>
      </c>
      <c r="S339" s="1" t="s">
        <v>29</v>
      </c>
      <c r="T339" s="1" t="s">
        <v>14</v>
      </c>
      <c r="U339" s="1" t="s">
        <v>76</v>
      </c>
      <c r="V339" s="1" t="s">
        <v>19</v>
      </c>
      <c r="W339" s="1" t="s">
        <v>29</v>
      </c>
      <c r="X339" s="1">
        <v>1.56</v>
      </c>
      <c r="Y339" s="1">
        <v>89</v>
      </c>
      <c r="Z339" s="3">
        <f t="shared" si="10"/>
        <v>36.571334648257725</v>
      </c>
      <c r="AA339" s="1">
        <v>126</v>
      </c>
      <c r="AB339" s="1">
        <v>116</v>
      </c>
      <c r="AC339" s="3">
        <f t="shared" si="11"/>
        <v>0.92063492063492058</v>
      </c>
      <c r="AD339" t="s">
        <v>173</v>
      </c>
      <c r="AE339">
        <v>86</v>
      </c>
      <c r="AF339">
        <v>16</v>
      </c>
      <c r="AG339">
        <v>37</v>
      </c>
      <c r="AH339">
        <v>11.7</v>
      </c>
    </row>
    <row r="340" spans="1:34" x14ac:dyDescent="0.25">
      <c r="A340" s="1">
        <v>338</v>
      </c>
      <c r="B340" s="1">
        <v>76</v>
      </c>
      <c r="C340" s="1" t="s">
        <v>32</v>
      </c>
      <c r="D340" s="1" t="s">
        <v>42</v>
      </c>
      <c r="E340" s="1" t="s">
        <v>37</v>
      </c>
      <c r="F340" s="1" t="s">
        <v>43</v>
      </c>
      <c r="G340" s="1">
        <v>2000</v>
      </c>
      <c r="H340" s="1">
        <v>14</v>
      </c>
      <c r="I340" s="1">
        <v>4</v>
      </c>
      <c r="J340" s="1" t="s">
        <v>14</v>
      </c>
      <c r="K340" s="1" t="s">
        <v>15</v>
      </c>
      <c r="L340" s="1" t="s">
        <v>129</v>
      </c>
      <c r="M340" s="1" t="s">
        <v>17</v>
      </c>
      <c r="N340" s="1" t="s">
        <v>33</v>
      </c>
      <c r="O340" s="1" t="s">
        <v>29</v>
      </c>
      <c r="P340" s="1" t="s">
        <v>29</v>
      </c>
      <c r="Q340" s="1" t="s">
        <v>19</v>
      </c>
      <c r="R340" s="1" t="s">
        <v>29</v>
      </c>
      <c r="S340" s="1" t="s">
        <v>29</v>
      </c>
      <c r="T340" s="1" t="s">
        <v>14</v>
      </c>
      <c r="U340" s="1" t="s">
        <v>64</v>
      </c>
      <c r="V340" s="1" t="s">
        <v>14</v>
      </c>
      <c r="W340" s="1" t="s">
        <v>41</v>
      </c>
      <c r="X340" s="1">
        <v>1.5</v>
      </c>
      <c r="Y340" s="1">
        <v>80</v>
      </c>
      <c r="Z340" s="3">
        <f t="shared" si="10"/>
        <v>35.555555555555557</v>
      </c>
      <c r="AA340" s="1">
        <v>120</v>
      </c>
      <c r="AB340" s="1">
        <v>114</v>
      </c>
      <c r="AC340" s="3">
        <f t="shared" si="11"/>
        <v>0.95</v>
      </c>
      <c r="AD340" t="s">
        <v>287</v>
      </c>
      <c r="AE340">
        <v>120</v>
      </c>
      <c r="AF340">
        <v>20</v>
      </c>
      <c r="AG340">
        <v>36.9</v>
      </c>
      <c r="AH340">
        <v>12.6</v>
      </c>
    </row>
    <row r="341" spans="1:34" x14ac:dyDescent="0.25">
      <c r="A341" s="1">
        <v>339</v>
      </c>
      <c r="B341" s="1">
        <v>66</v>
      </c>
      <c r="C341" s="1" t="s">
        <v>11</v>
      </c>
      <c r="D341" s="1" t="s">
        <v>21</v>
      </c>
      <c r="E341" s="1" t="s">
        <v>34</v>
      </c>
      <c r="F341" s="1" t="s">
        <v>23</v>
      </c>
      <c r="G341" s="1">
        <v>1989</v>
      </c>
      <c r="H341" s="1">
        <v>25</v>
      </c>
      <c r="I341" s="1">
        <v>3</v>
      </c>
      <c r="J341" s="1" t="s">
        <v>14</v>
      </c>
      <c r="K341" s="1" t="s">
        <v>15</v>
      </c>
      <c r="L341" s="1" t="s">
        <v>18</v>
      </c>
      <c r="M341" s="1" t="s">
        <v>12</v>
      </c>
      <c r="N341" s="1" t="s">
        <v>33</v>
      </c>
      <c r="O341" s="1" t="s">
        <v>29</v>
      </c>
      <c r="P341" s="1" t="s">
        <v>29</v>
      </c>
      <c r="Q341" s="1" t="s">
        <v>19</v>
      </c>
      <c r="R341" s="1" t="s">
        <v>29</v>
      </c>
      <c r="S341" s="1" t="s">
        <v>29</v>
      </c>
      <c r="T341" s="1" t="s">
        <v>14</v>
      </c>
      <c r="U341" s="1" t="s">
        <v>125</v>
      </c>
      <c r="V341" s="1" t="s">
        <v>19</v>
      </c>
      <c r="W341" s="1" t="s">
        <v>29</v>
      </c>
      <c r="X341" s="1">
        <v>1.58</v>
      </c>
      <c r="Y341" s="1">
        <v>64</v>
      </c>
      <c r="Z341" s="3">
        <f t="shared" si="10"/>
        <v>25.63691716071142</v>
      </c>
      <c r="AA341" s="1">
        <v>67</v>
      </c>
      <c r="AB341" s="1">
        <v>58</v>
      </c>
      <c r="AC341" s="3">
        <f t="shared" si="11"/>
        <v>0.86567164179104472</v>
      </c>
      <c r="AD341" t="s">
        <v>341</v>
      </c>
      <c r="AE341">
        <v>68</v>
      </c>
      <c r="AF341">
        <v>14</v>
      </c>
      <c r="AG341">
        <v>37</v>
      </c>
      <c r="AH341">
        <v>15.4</v>
      </c>
    </row>
    <row r="342" spans="1:34" x14ac:dyDescent="0.25">
      <c r="A342" s="1">
        <v>340</v>
      </c>
      <c r="B342" s="1">
        <v>70</v>
      </c>
      <c r="C342" s="1" t="s">
        <v>32</v>
      </c>
      <c r="D342" s="1" t="s">
        <v>42</v>
      </c>
      <c r="E342" s="1" t="s">
        <v>37</v>
      </c>
      <c r="F342" s="1" t="s">
        <v>43</v>
      </c>
      <c r="G342" s="1">
        <v>2014</v>
      </c>
      <c r="H342" s="1">
        <v>1</v>
      </c>
      <c r="I342" s="1">
        <v>3</v>
      </c>
      <c r="J342" s="1" t="s">
        <v>14</v>
      </c>
      <c r="K342" s="1" t="s">
        <v>15</v>
      </c>
      <c r="L342" s="1" t="s">
        <v>16</v>
      </c>
      <c r="M342" s="1" t="s">
        <v>16</v>
      </c>
      <c r="N342" s="1" t="s">
        <v>33</v>
      </c>
      <c r="O342" s="1" t="s">
        <v>29</v>
      </c>
      <c r="P342" s="1" t="s">
        <v>29</v>
      </c>
      <c r="Q342" s="1" t="s">
        <v>19</v>
      </c>
      <c r="R342" s="1" t="s">
        <v>29</v>
      </c>
      <c r="S342" s="1" t="s">
        <v>29</v>
      </c>
      <c r="T342" s="1" t="s">
        <v>14</v>
      </c>
      <c r="U342" s="1" t="s">
        <v>154</v>
      </c>
      <c r="V342" s="1" t="s">
        <v>14</v>
      </c>
      <c r="W342" s="40" t="s">
        <v>342</v>
      </c>
      <c r="X342" s="1">
        <v>1.48</v>
      </c>
      <c r="Y342" s="1">
        <v>66</v>
      </c>
      <c r="Z342" s="3">
        <f t="shared" si="10"/>
        <v>30.131482834185537</v>
      </c>
      <c r="AA342" s="1">
        <v>114</v>
      </c>
      <c r="AB342" s="1">
        <v>90</v>
      </c>
      <c r="AC342" s="3">
        <f t="shared" si="11"/>
        <v>0.78947368421052633</v>
      </c>
      <c r="AD342" t="s">
        <v>186</v>
      </c>
      <c r="AE342">
        <v>70</v>
      </c>
      <c r="AF342">
        <v>14</v>
      </c>
      <c r="AG342">
        <v>37.1</v>
      </c>
      <c r="AH342">
        <v>8.4</v>
      </c>
    </row>
    <row r="343" spans="1:34" x14ac:dyDescent="0.25">
      <c r="A343" s="1">
        <v>341</v>
      </c>
      <c r="B343" s="1">
        <v>70</v>
      </c>
      <c r="C343" s="1" t="s">
        <v>11</v>
      </c>
      <c r="D343" s="1" t="s">
        <v>21</v>
      </c>
      <c r="E343" s="1" t="s">
        <v>22</v>
      </c>
      <c r="F343" s="1" t="s">
        <v>38</v>
      </c>
      <c r="G343" s="1">
        <v>2014</v>
      </c>
      <c r="H343" s="1">
        <v>1</v>
      </c>
      <c r="I343" s="1">
        <v>4</v>
      </c>
      <c r="J343" s="1" t="s">
        <v>19</v>
      </c>
      <c r="K343" s="1" t="s">
        <v>29</v>
      </c>
      <c r="L343" s="1" t="s">
        <v>16</v>
      </c>
      <c r="M343" s="1" t="s">
        <v>12</v>
      </c>
      <c r="N343" s="1" t="s">
        <v>25</v>
      </c>
      <c r="O343" s="1" t="s">
        <v>26</v>
      </c>
      <c r="P343" s="1" t="s">
        <v>40</v>
      </c>
      <c r="Q343" s="1" t="s">
        <v>14</v>
      </c>
      <c r="R343" s="1" t="s">
        <v>27</v>
      </c>
      <c r="S343" s="4" t="s">
        <v>61</v>
      </c>
      <c r="T343" s="1" t="s">
        <v>19</v>
      </c>
      <c r="U343" s="1" t="s">
        <v>29</v>
      </c>
      <c r="V343" s="1" t="s">
        <v>19</v>
      </c>
      <c r="W343" s="1" t="s">
        <v>29</v>
      </c>
      <c r="X343" s="1">
        <v>1.59</v>
      </c>
      <c r="Y343" s="1">
        <v>65</v>
      </c>
      <c r="Z343" s="3">
        <f t="shared" si="10"/>
        <v>25.711008267078039</v>
      </c>
      <c r="AA343" s="1">
        <v>94</v>
      </c>
      <c r="AB343" s="1">
        <v>100</v>
      </c>
      <c r="AC343" s="3">
        <f t="shared" si="11"/>
        <v>1.0638297872340425</v>
      </c>
      <c r="AD343" t="s">
        <v>343</v>
      </c>
      <c r="AE343">
        <v>76</v>
      </c>
      <c r="AF343">
        <v>16</v>
      </c>
      <c r="AG343">
        <v>36.5</v>
      </c>
      <c r="AH343">
        <v>5.2</v>
      </c>
    </row>
    <row r="344" spans="1:34" x14ac:dyDescent="0.25">
      <c r="A344" s="1">
        <v>342</v>
      </c>
      <c r="B344" s="1">
        <v>72</v>
      </c>
      <c r="C344" s="1" t="s">
        <v>11</v>
      </c>
      <c r="D344" s="1" t="s">
        <v>21</v>
      </c>
      <c r="E344" s="1" t="s">
        <v>22</v>
      </c>
      <c r="F344" s="1" t="s">
        <v>43</v>
      </c>
      <c r="G344" s="1">
        <v>2008</v>
      </c>
      <c r="H344" s="1">
        <v>6</v>
      </c>
      <c r="I344" s="1">
        <v>3</v>
      </c>
      <c r="J344" s="1" t="s">
        <v>19</v>
      </c>
      <c r="K344" s="1" t="s">
        <v>29</v>
      </c>
      <c r="L344" s="1" t="s">
        <v>16</v>
      </c>
      <c r="M344" s="1" t="s">
        <v>29</v>
      </c>
      <c r="N344" s="1" t="s">
        <v>25</v>
      </c>
      <c r="O344" s="1" t="s">
        <v>26</v>
      </c>
      <c r="P344" s="1" t="s">
        <v>40</v>
      </c>
      <c r="Q344" s="1" t="s">
        <v>14</v>
      </c>
      <c r="R344" s="4" t="s">
        <v>61</v>
      </c>
      <c r="S344" s="4" t="s">
        <v>61</v>
      </c>
      <c r="T344" s="1" t="s">
        <v>19</v>
      </c>
      <c r="U344" s="1" t="s">
        <v>29</v>
      </c>
      <c r="V344" s="1" t="s">
        <v>19</v>
      </c>
      <c r="W344" s="1" t="s">
        <v>29</v>
      </c>
      <c r="X344" s="1">
        <v>1.56</v>
      </c>
      <c r="Y344" s="1">
        <v>74</v>
      </c>
      <c r="Z344" s="3">
        <f t="shared" si="10"/>
        <v>30.407626561472714</v>
      </c>
      <c r="AA344" s="1">
        <v>110</v>
      </c>
      <c r="AB344" s="1">
        <v>118</v>
      </c>
      <c r="AC344" s="3">
        <f t="shared" si="11"/>
        <v>1.0727272727272728</v>
      </c>
      <c r="AD344" t="s">
        <v>171</v>
      </c>
      <c r="AE344">
        <v>62</v>
      </c>
      <c r="AF344">
        <v>14</v>
      </c>
      <c r="AG344">
        <v>36.9</v>
      </c>
    </row>
    <row r="345" spans="1:34" x14ac:dyDescent="0.25">
      <c r="A345" s="1">
        <v>343</v>
      </c>
      <c r="B345" s="1">
        <v>51</v>
      </c>
      <c r="C345" s="1" t="s">
        <v>32</v>
      </c>
      <c r="D345" s="1" t="s">
        <v>42</v>
      </c>
      <c r="E345" s="1" t="s">
        <v>36</v>
      </c>
      <c r="F345" s="1" t="s">
        <v>38</v>
      </c>
      <c r="G345" s="1">
        <v>2013</v>
      </c>
      <c r="H345" s="1">
        <v>1</v>
      </c>
      <c r="I345" s="1">
        <v>4</v>
      </c>
      <c r="J345" s="1" t="s">
        <v>14</v>
      </c>
      <c r="K345" s="1" t="s">
        <v>15</v>
      </c>
      <c r="L345" s="1" t="s">
        <v>16</v>
      </c>
      <c r="M345" s="1" t="s">
        <v>29</v>
      </c>
      <c r="N345" s="1" t="s">
        <v>33</v>
      </c>
      <c r="O345" s="1" t="s">
        <v>29</v>
      </c>
      <c r="P345" s="1" t="s">
        <v>29</v>
      </c>
      <c r="Q345" s="1" t="s">
        <v>19</v>
      </c>
      <c r="R345" s="1" t="s">
        <v>29</v>
      </c>
      <c r="S345" s="1" t="s">
        <v>29</v>
      </c>
      <c r="T345" s="1" t="s">
        <v>14</v>
      </c>
      <c r="U345" s="1" t="s">
        <v>53</v>
      </c>
      <c r="V345" s="1" t="s">
        <v>14</v>
      </c>
      <c r="W345" s="1" t="s">
        <v>150</v>
      </c>
      <c r="X345" s="1">
        <v>1.5</v>
      </c>
      <c r="Y345" s="1">
        <v>57</v>
      </c>
      <c r="Z345" s="3">
        <f t="shared" si="10"/>
        <v>25.333333333333332</v>
      </c>
      <c r="AA345" s="1">
        <v>98</v>
      </c>
      <c r="AB345" s="1">
        <v>96</v>
      </c>
      <c r="AC345" s="3">
        <f t="shared" si="11"/>
        <v>0.97959183673469385</v>
      </c>
      <c r="AD345" t="s">
        <v>232</v>
      </c>
      <c r="AE345">
        <v>68</v>
      </c>
      <c r="AF345">
        <v>18</v>
      </c>
      <c r="AG345">
        <v>37.1</v>
      </c>
      <c r="AH345">
        <v>19</v>
      </c>
    </row>
    <row r="346" spans="1:34" x14ac:dyDescent="0.25">
      <c r="A346" s="1">
        <v>344</v>
      </c>
      <c r="B346" s="1">
        <v>70</v>
      </c>
      <c r="C346" s="1" t="s">
        <v>32</v>
      </c>
      <c r="D346" s="1" t="s">
        <v>42</v>
      </c>
      <c r="E346" s="1" t="s">
        <v>37</v>
      </c>
      <c r="F346" s="1" t="s">
        <v>38</v>
      </c>
      <c r="G346" s="1">
        <v>1994</v>
      </c>
      <c r="H346" s="1">
        <v>20</v>
      </c>
      <c r="I346" s="1">
        <v>4</v>
      </c>
      <c r="J346" s="42" t="s">
        <v>19</v>
      </c>
      <c r="K346" s="42" t="s">
        <v>29</v>
      </c>
      <c r="L346" s="42" t="s">
        <v>16</v>
      </c>
      <c r="M346" s="42" t="s">
        <v>29</v>
      </c>
      <c r="N346" s="1" t="s">
        <v>33</v>
      </c>
      <c r="O346" s="1" t="s">
        <v>29</v>
      </c>
      <c r="P346" s="1" t="s">
        <v>29</v>
      </c>
      <c r="Q346" s="1" t="s">
        <v>19</v>
      </c>
      <c r="R346" s="1" t="s">
        <v>29</v>
      </c>
      <c r="S346" s="1" t="s">
        <v>29</v>
      </c>
      <c r="T346" s="1" t="s">
        <v>19</v>
      </c>
      <c r="U346" s="1" t="s">
        <v>29</v>
      </c>
      <c r="V346" s="1" t="s">
        <v>19</v>
      </c>
      <c r="W346" s="1" t="s">
        <v>29</v>
      </c>
      <c r="X346" s="1">
        <v>1.5</v>
      </c>
      <c r="Y346" s="1">
        <v>67</v>
      </c>
      <c r="Z346" s="3">
        <f t="shared" si="10"/>
        <v>29.777777777777779</v>
      </c>
      <c r="AA346" s="1">
        <v>110</v>
      </c>
      <c r="AB346" s="1">
        <v>112</v>
      </c>
      <c r="AC346" s="3">
        <f t="shared" si="11"/>
        <v>1.0181818181818181</v>
      </c>
      <c r="AD346" t="s">
        <v>344</v>
      </c>
      <c r="AE346">
        <v>82</v>
      </c>
      <c r="AF346">
        <v>16</v>
      </c>
      <c r="AG346">
        <v>37</v>
      </c>
      <c r="AH346">
        <v>12.4</v>
      </c>
    </row>
    <row r="347" spans="1:34" x14ac:dyDescent="0.25">
      <c r="A347" s="1">
        <v>345</v>
      </c>
      <c r="B347" s="1">
        <v>55</v>
      </c>
      <c r="C347" s="1" t="s">
        <v>32</v>
      </c>
      <c r="D347" s="1" t="s">
        <v>21</v>
      </c>
      <c r="E347" s="1" t="s">
        <v>22</v>
      </c>
      <c r="F347" s="1" t="s">
        <v>38</v>
      </c>
      <c r="G347" s="1">
        <v>2011</v>
      </c>
      <c r="H347" s="1">
        <v>3</v>
      </c>
      <c r="I347" s="1">
        <v>4</v>
      </c>
      <c r="J347" s="1" t="s">
        <v>14</v>
      </c>
      <c r="K347" s="1" t="s">
        <v>15</v>
      </c>
      <c r="L347" s="1" t="s">
        <v>16</v>
      </c>
      <c r="M347" s="1" t="s">
        <v>29</v>
      </c>
      <c r="N347" s="1" t="s">
        <v>33</v>
      </c>
      <c r="O347" s="1" t="s">
        <v>29</v>
      </c>
      <c r="P347" s="1" t="s">
        <v>29</v>
      </c>
      <c r="Q347" s="1" t="s">
        <v>19</v>
      </c>
      <c r="R347" s="1" t="s">
        <v>29</v>
      </c>
      <c r="S347" s="1" t="s">
        <v>29</v>
      </c>
      <c r="T347" s="1" t="s">
        <v>14</v>
      </c>
      <c r="U347" s="1" t="s">
        <v>59</v>
      </c>
      <c r="V347" s="1" t="s">
        <v>19</v>
      </c>
      <c r="W347" s="1" t="s">
        <v>29</v>
      </c>
      <c r="X347" s="1">
        <v>1.49</v>
      </c>
      <c r="Y347" s="1">
        <v>68</v>
      </c>
      <c r="Z347" s="3">
        <f t="shared" si="10"/>
        <v>30.629250934642585</v>
      </c>
      <c r="AA347" s="1">
        <v>102</v>
      </c>
      <c r="AB347" s="1">
        <v>99</v>
      </c>
      <c r="AC347" s="3">
        <f t="shared" si="11"/>
        <v>0.97058823529411764</v>
      </c>
      <c r="AD347" t="s">
        <v>345</v>
      </c>
      <c r="AE347">
        <v>80</v>
      </c>
      <c r="AF347">
        <v>14</v>
      </c>
      <c r="AG347">
        <v>36.6</v>
      </c>
    </row>
    <row r="348" spans="1:34" x14ac:dyDescent="0.25">
      <c r="A348" s="1">
        <v>346</v>
      </c>
      <c r="B348" s="1">
        <v>58</v>
      </c>
      <c r="C348" s="1" t="s">
        <v>32</v>
      </c>
      <c r="D348" s="1" t="s">
        <v>35</v>
      </c>
      <c r="E348" s="1" t="s">
        <v>22</v>
      </c>
      <c r="F348" s="1" t="s">
        <v>38</v>
      </c>
      <c r="G348" s="1">
        <v>2009</v>
      </c>
      <c r="H348" s="1">
        <v>5</v>
      </c>
      <c r="I348" s="1">
        <v>4</v>
      </c>
      <c r="J348" s="1" t="s">
        <v>19</v>
      </c>
      <c r="K348" s="1" t="s">
        <v>29</v>
      </c>
      <c r="L348" s="1" t="s">
        <v>16</v>
      </c>
      <c r="M348" s="1" t="s">
        <v>29</v>
      </c>
      <c r="N348" s="1" t="s">
        <v>33</v>
      </c>
      <c r="O348" s="1" t="s">
        <v>29</v>
      </c>
      <c r="P348" s="1" t="s">
        <v>29</v>
      </c>
      <c r="Q348" s="1" t="s">
        <v>19</v>
      </c>
      <c r="R348" s="1" t="s">
        <v>29</v>
      </c>
      <c r="S348" s="1" t="s">
        <v>29</v>
      </c>
      <c r="T348" s="1" t="s">
        <v>19</v>
      </c>
      <c r="U348" s="1" t="s">
        <v>29</v>
      </c>
      <c r="V348" s="1" t="s">
        <v>19</v>
      </c>
      <c r="W348" s="1" t="s">
        <v>29</v>
      </c>
      <c r="X348" s="1">
        <v>1.54</v>
      </c>
      <c r="Y348" s="1">
        <v>54</v>
      </c>
      <c r="Z348" s="3">
        <f t="shared" si="10"/>
        <v>22.769438353853939</v>
      </c>
      <c r="AA348" s="1">
        <v>100</v>
      </c>
      <c r="AB348" s="1">
        <v>83</v>
      </c>
      <c r="AC348" s="3">
        <f t="shared" si="11"/>
        <v>0.83</v>
      </c>
      <c r="AD348" t="s">
        <v>173</v>
      </c>
      <c r="AE348">
        <v>86</v>
      </c>
      <c r="AF348">
        <v>14</v>
      </c>
      <c r="AG348">
        <v>36.799999999999997</v>
      </c>
      <c r="AH348">
        <v>10.1</v>
      </c>
    </row>
    <row r="349" spans="1:34" x14ac:dyDescent="0.25">
      <c r="A349" s="1">
        <v>347</v>
      </c>
      <c r="B349" s="1">
        <v>49</v>
      </c>
      <c r="C349" s="1" t="s">
        <v>11</v>
      </c>
      <c r="D349" s="1" t="s">
        <v>21</v>
      </c>
      <c r="E349" s="1" t="s">
        <v>36</v>
      </c>
      <c r="F349" s="1" t="s">
        <v>43</v>
      </c>
      <c r="G349" s="1">
        <v>2011</v>
      </c>
      <c r="H349" s="1">
        <v>3</v>
      </c>
      <c r="I349" s="1">
        <v>3</v>
      </c>
      <c r="J349" s="1" t="s">
        <v>19</v>
      </c>
      <c r="K349" s="1" t="s">
        <v>29</v>
      </c>
      <c r="L349" s="1" t="s">
        <v>129</v>
      </c>
      <c r="M349" s="1" t="s">
        <v>16</v>
      </c>
      <c r="N349" s="1" t="s">
        <v>25</v>
      </c>
      <c r="O349" s="1" t="s">
        <v>26</v>
      </c>
      <c r="P349" s="1" t="s">
        <v>40</v>
      </c>
      <c r="Q349" s="1" t="s">
        <v>14</v>
      </c>
      <c r="R349" s="1" t="s">
        <v>27</v>
      </c>
      <c r="S349" s="4" t="s">
        <v>61</v>
      </c>
      <c r="T349" s="1" t="s">
        <v>19</v>
      </c>
      <c r="U349" s="1" t="s">
        <v>29</v>
      </c>
      <c r="V349" s="1" t="s">
        <v>19</v>
      </c>
      <c r="W349" s="1" t="s">
        <v>29</v>
      </c>
      <c r="X349" s="1">
        <v>1.76</v>
      </c>
      <c r="Y349" s="1">
        <v>111</v>
      </c>
      <c r="Z349" s="3">
        <f t="shared" si="10"/>
        <v>35.834194214876035</v>
      </c>
      <c r="AA349" s="1">
        <v>123</v>
      </c>
      <c r="AB349" s="1">
        <v>128</v>
      </c>
      <c r="AC349" s="3">
        <f t="shared" si="11"/>
        <v>1.0406504065040652</v>
      </c>
      <c r="AD349" t="s">
        <v>173</v>
      </c>
      <c r="AE349">
        <v>98</v>
      </c>
      <c r="AF349">
        <v>14</v>
      </c>
      <c r="AG349">
        <v>36.9</v>
      </c>
      <c r="AH349">
        <v>4.7</v>
      </c>
    </row>
    <row r="350" spans="1:34" x14ac:dyDescent="0.25">
      <c r="A350" s="1">
        <v>348</v>
      </c>
      <c r="B350" s="1">
        <v>70</v>
      </c>
      <c r="C350" s="1" t="s">
        <v>11</v>
      </c>
      <c r="D350" s="1" t="s">
        <v>21</v>
      </c>
      <c r="E350" s="1" t="s">
        <v>22</v>
      </c>
      <c r="F350" s="1" t="s">
        <v>23</v>
      </c>
      <c r="G350" s="1">
        <v>2010</v>
      </c>
      <c r="H350" s="1">
        <v>4</v>
      </c>
      <c r="I350" s="1">
        <v>4</v>
      </c>
      <c r="J350" s="1" t="s">
        <v>14</v>
      </c>
      <c r="K350" s="1" t="s">
        <v>15</v>
      </c>
      <c r="L350" s="1" t="s">
        <v>129</v>
      </c>
      <c r="M350" s="1" t="s">
        <v>17</v>
      </c>
      <c r="N350" s="1" t="s">
        <v>25</v>
      </c>
      <c r="O350" s="1" t="s">
        <v>26</v>
      </c>
      <c r="P350" s="1" t="s">
        <v>40</v>
      </c>
      <c r="Q350" s="1" t="s">
        <v>14</v>
      </c>
      <c r="R350" s="1" t="s">
        <v>27</v>
      </c>
      <c r="S350" s="1" t="s">
        <v>27</v>
      </c>
      <c r="T350" s="1" t="s">
        <v>19</v>
      </c>
      <c r="U350" s="1" t="s">
        <v>29</v>
      </c>
      <c r="V350" s="1" t="s">
        <v>19</v>
      </c>
      <c r="W350" s="1" t="s">
        <v>29</v>
      </c>
      <c r="X350" s="1">
        <v>1.61</v>
      </c>
      <c r="Y350" s="1">
        <v>75</v>
      </c>
      <c r="Z350" s="3">
        <f t="shared" si="10"/>
        <v>28.934068901662741</v>
      </c>
      <c r="AA350" s="1">
        <v>105</v>
      </c>
      <c r="AB350" s="1">
        <v>109</v>
      </c>
      <c r="AC350" s="3">
        <f t="shared" si="11"/>
        <v>1.0380952380952382</v>
      </c>
      <c r="AD350" t="s">
        <v>172</v>
      </c>
      <c r="AE350">
        <v>104</v>
      </c>
      <c r="AF350">
        <v>18</v>
      </c>
      <c r="AG350">
        <v>37.200000000000003</v>
      </c>
      <c r="AH350">
        <v>7.2</v>
      </c>
    </row>
    <row r="351" spans="1:34" x14ac:dyDescent="0.25">
      <c r="A351" s="1">
        <v>349</v>
      </c>
      <c r="B351" s="1">
        <v>69</v>
      </c>
      <c r="C351" s="1" t="s">
        <v>11</v>
      </c>
      <c r="D351" s="1" t="s">
        <v>21</v>
      </c>
      <c r="E351" s="1" t="s">
        <v>22</v>
      </c>
      <c r="F351" s="1" t="s">
        <v>43</v>
      </c>
      <c r="G351" s="1">
        <v>2006</v>
      </c>
      <c r="H351" s="1">
        <v>5</v>
      </c>
      <c r="I351" s="1">
        <v>4</v>
      </c>
      <c r="J351" s="1" t="s">
        <v>14</v>
      </c>
      <c r="K351" s="1" t="s">
        <v>15</v>
      </c>
      <c r="L351" s="1" t="s">
        <v>18</v>
      </c>
      <c r="M351" s="1" t="s">
        <v>17</v>
      </c>
      <c r="N351" s="1" t="s">
        <v>25</v>
      </c>
      <c r="O351" s="1" t="s">
        <v>26</v>
      </c>
      <c r="P351" s="1" t="s">
        <v>40</v>
      </c>
      <c r="Q351" s="1" t="s">
        <v>14</v>
      </c>
      <c r="R351" s="1" t="s">
        <v>27</v>
      </c>
      <c r="S351" s="4" t="s">
        <v>61</v>
      </c>
      <c r="T351" s="1" t="s">
        <v>14</v>
      </c>
      <c r="U351" s="1" t="s">
        <v>73</v>
      </c>
      <c r="V351" s="1" t="s">
        <v>14</v>
      </c>
      <c r="W351" s="40" t="s">
        <v>73</v>
      </c>
      <c r="X351" s="1">
        <v>1.68</v>
      </c>
      <c r="Y351" s="1">
        <v>63</v>
      </c>
      <c r="Z351" s="3">
        <f t="shared" si="10"/>
        <v>22.321428571428577</v>
      </c>
      <c r="AA351" s="1">
        <v>92</v>
      </c>
      <c r="AB351" s="1">
        <v>98</v>
      </c>
      <c r="AC351" s="3">
        <f t="shared" si="11"/>
        <v>1.0652173913043479</v>
      </c>
      <c r="AD351" t="s">
        <v>346</v>
      </c>
      <c r="AE351">
        <v>126</v>
      </c>
      <c r="AF351">
        <v>20</v>
      </c>
      <c r="AG351">
        <v>36.799999999999997</v>
      </c>
      <c r="AH351">
        <v>7.2</v>
      </c>
    </row>
    <row r="352" spans="1:34" x14ac:dyDescent="0.25">
      <c r="A352" s="1">
        <v>350</v>
      </c>
      <c r="B352" s="1">
        <v>69</v>
      </c>
      <c r="C352" s="1" t="s">
        <v>32</v>
      </c>
      <c r="D352" s="1" t="s">
        <v>21</v>
      </c>
      <c r="E352" s="1" t="s">
        <v>37</v>
      </c>
      <c r="F352" s="1" t="s">
        <v>43</v>
      </c>
      <c r="G352" s="1">
        <v>1984</v>
      </c>
      <c r="H352" s="1">
        <v>30</v>
      </c>
      <c r="I352" s="1">
        <v>4</v>
      </c>
      <c r="J352" s="1" t="s">
        <v>14</v>
      </c>
      <c r="K352" s="1" t="s">
        <v>15</v>
      </c>
      <c r="L352" s="1" t="s">
        <v>129</v>
      </c>
      <c r="M352" s="1" t="s">
        <v>29</v>
      </c>
      <c r="N352" s="1" t="s">
        <v>33</v>
      </c>
      <c r="O352" s="1" t="s">
        <v>26</v>
      </c>
      <c r="P352" s="1" t="s">
        <v>40</v>
      </c>
      <c r="Q352" s="1" t="s">
        <v>19</v>
      </c>
      <c r="R352" s="1" t="s">
        <v>29</v>
      </c>
      <c r="S352" s="1" t="s">
        <v>29</v>
      </c>
      <c r="T352" s="1" t="s">
        <v>14</v>
      </c>
      <c r="U352" s="1" t="s">
        <v>46</v>
      </c>
      <c r="V352" s="1" t="s">
        <v>19</v>
      </c>
      <c r="W352" s="1" t="s">
        <v>29</v>
      </c>
      <c r="X352" s="1">
        <v>1.52</v>
      </c>
      <c r="Y352" s="1">
        <v>72</v>
      </c>
      <c r="Z352" s="3">
        <f t="shared" si="10"/>
        <v>31.16343490304709</v>
      </c>
      <c r="AA352" s="1">
        <v>120</v>
      </c>
      <c r="AB352" s="1">
        <v>110</v>
      </c>
      <c r="AC352" s="3">
        <f t="shared" si="11"/>
        <v>0.91666666666666663</v>
      </c>
      <c r="AD352" t="s">
        <v>214</v>
      </c>
      <c r="AE352">
        <v>88</v>
      </c>
      <c r="AF352">
        <v>14</v>
      </c>
      <c r="AG352">
        <v>36.700000000000003</v>
      </c>
      <c r="AH352">
        <v>5.0999999999999996</v>
      </c>
    </row>
    <row r="353" spans="1:34" x14ac:dyDescent="0.25">
      <c r="A353" s="1">
        <v>351</v>
      </c>
      <c r="B353" s="1">
        <v>67</v>
      </c>
      <c r="C353" s="1" t="s">
        <v>11</v>
      </c>
      <c r="D353" s="1" t="s">
        <v>21</v>
      </c>
      <c r="E353" s="1" t="s">
        <v>36</v>
      </c>
      <c r="F353" s="1" t="s">
        <v>23</v>
      </c>
      <c r="G353" s="1">
        <v>2012</v>
      </c>
      <c r="H353" s="1">
        <v>2</v>
      </c>
      <c r="I353" s="1">
        <v>4</v>
      </c>
      <c r="J353" s="1" t="s">
        <v>19</v>
      </c>
      <c r="K353" s="1" t="s">
        <v>29</v>
      </c>
      <c r="L353" s="1" t="s">
        <v>16</v>
      </c>
      <c r="M353" s="1" t="s">
        <v>17</v>
      </c>
      <c r="N353" s="1" t="s">
        <v>25</v>
      </c>
      <c r="O353" s="1" t="s">
        <v>26</v>
      </c>
      <c r="P353" s="1" t="s">
        <v>40</v>
      </c>
      <c r="Q353" s="1" t="s">
        <v>14</v>
      </c>
      <c r="R353" s="1" t="s">
        <v>27</v>
      </c>
      <c r="S353" s="4" t="s">
        <v>61</v>
      </c>
      <c r="T353" s="1" t="s">
        <v>14</v>
      </c>
      <c r="U353" s="1" t="s">
        <v>63</v>
      </c>
      <c r="V353" s="1" t="s">
        <v>19</v>
      </c>
      <c r="W353" s="1" t="s">
        <v>29</v>
      </c>
      <c r="X353" s="1">
        <v>1.6</v>
      </c>
      <c r="Y353" s="1">
        <v>64</v>
      </c>
      <c r="Z353" s="3">
        <f t="shared" si="10"/>
        <v>24.999999999999996</v>
      </c>
      <c r="AA353" s="1">
        <v>95</v>
      </c>
      <c r="AB353" s="1">
        <v>100</v>
      </c>
      <c r="AC353" s="3">
        <f t="shared" si="11"/>
        <v>1.0526315789473684</v>
      </c>
      <c r="AD353" t="s">
        <v>188</v>
      </c>
      <c r="AE353">
        <v>62</v>
      </c>
      <c r="AF353">
        <v>16</v>
      </c>
      <c r="AG353">
        <v>37</v>
      </c>
      <c r="AH353">
        <v>8.1999999999999993</v>
      </c>
    </row>
    <row r="354" spans="1:34" x14ac:dyDescent="0.25">
      <c r="A354" s="1">
        <v>352</v>
      </c>
      <c r="B354" s="1">
        <v>72</v>
      </c>
      <c r="C354" s="1" t="s">
        <v>11</v>
      </c>
      <c r="D354" s="1" t="s">
        <v>21</v>
      </c>
      <c r="E354" s="1" t="s">
        <v>22</v>
      </c>
      <c r="F354" s="1" t="s">
        <v>23</v>
      </c>
      <c r="G354" s="1">
        <v>2014</v>
      </c>
      <c r="H354" s="1">
        <v>1</v>
      </c>
      <c r="I354" s="1">
        <v>4</v>
      </c>
      <c r="J354" s="1" t="s">
        <v>19</v>
      </c>
      <c r="K354" s="1" t="s">
        <v>29</v>
      </c>
      <c r="L354" s="1" t="s">
        <v>16</v>
      </c>
      <c r="M354" s="1" t="s">
        <v>29</v>
      </c>
      <c r="N354" s="1" t="s">
        <v>78</v>
      </c>
      <c r="O354" s="1" t="s">
        <v>26</v>
      </c>
      <c r="P354" s="1" t="s">
        <v>40</v>
      </c>
      <c r="Q354" s="1" t="s">
        <v>19</v>
      </c>
      <c r="R354" s="1" t="s">
        <v>29</v>
      </c>
      <c r="S354" s="1" t="s">
        <v>29</v>
      </c>
      <c r="T354" s="1" t="s">
        <v>19</v>
      </c>
      <c r="U354" s="1" t="s">
        <v>29</v>
      </c>
      <c r="V354" s="1" t="s">
        <v>19</v>
      </c>
      <c r="W354" s="1" t="s">
        <v>29</v>
      </c>
      <c r="X354" s="1">
        <v>1.61</v>
      </c>
      <c r="Y354" s="1">
        <v>55</v>
      </c>
      <c r="Z354" s="3">
        <f t="shared" si="10"/>
        <v>21.218317194552675</v>
      </c>
      <c r="AA354" s="1">
        <v>104</v>
      </c>
      <c r="AB354" s="1">
        <v>87</v>
      </c>
      <c r="AC354" s="3">
        <f t="shared" si="11"/>
        <v>0.83653846153846156</v>
      </c>
      <c r="AD354" t="s">
        <v>347</v>
      </c>
      <c r="AE354">
        <v>68</v>
      </c>
      <c r="AF354">
        <v>16</v>
      </c>
      <c r="AG354">
        <v>37.1</v>
      </c>
      <c r="AH354">
        <v>6.9</v>
      </c>
    </row>
    <row r="355" spans="1:34" x14ac:dyDescent="0.25">
      <c r="A355" s="1">
        <v>353</v>
      </c>
      <c r="B355" s="1">
        <v>75</v>
      </c>
      <c r="C355" s="1" t="s">
        <v>11</v>
      </c>
      <c r="D355" s="1" t="s">
        <v>21</v>
      </c>
      <c r="E355" s="1" t="s">
        <v>22</v>
      </c>
      <c r="F355" s="1" t="s">
        <v>38</v>
      </c>
      <c r="G355" s="1">
        <v>1994</v>
      </c>
      <c r="H355" s="1">
        <v>20</v>
      </c>
      <c r="I355" s="1">
        <v>4</v>
      </c>
      <c r="J355" s="42" t="s">
        <v>19</v>
      </c>
      <c r="K355" s="42" t="s">
        <v>29</v>
      </c>
      <c r="L355" s="42" t="s">
        <v>16</v>
      </c>
      <c r="M355" s="42" t="s">
        <v>410</v>
      </c>
      <c r="N355" s="1" t="s">
        <v>33</v>
      </c>
      <c r="O355" s="1" t="s">
        <v>29</v>
      </c>
      <c r="P355" s="1" t="s">
        <v>29</v>
      </c>
      <c r="Q355" s="1" t="s">
        <v>19</v>
      </c>
      <c r="R355" s="1" t="s">
        <v>29</v>
      </c>
      <c r="S355" s="1" t="s">
        <v>29</v>
      </c>
      <c r="T355" s="1" t="s">
        <v>19</v>
      </c>
      <c r="U355" s="1" t="s">
        <v>29</v>
      </c>
      <c r="V355" s="1" t="s">
        <v>19</v>
      </c>
      <c r="W355" s="1" t="s">
        <v>29</v>
      </c>
      <c r="X355" s="1">
        <v>1.51</v>
      </c>
      <c r="Y355" s="1">
        <v>48</v>
      </c>
      <c r="Z355" s="3">
        <f t="shared" si="10"/>
        <v>21.051708258409718</v>
      </c>
      <c r="AA355" s="1">
        <v>85</v>
      </c>
      <c r="AB355" s="1">
        <v>90</v>
      </c>
      <c r="AC355" s="3">
        <f t="shared" si="11"/>
        <v>1.0588235294117647</v>
      </c>
      <c r="AD355" t="s">
        <v>214</v>
      </c>
      <c r="AE355">
        <v>92</v>
      </c>
      <c r="AF355">
        <v>20</v>
      </c>
      <c r="AG355">
        <v>36.9</v>
      </c>
      <c r="AH355">
        <v>6.9</v>
      </c>
    </row>
    <row r="356" spans="1:34" x14ac:dyDescent="0.25">
      <c r="A356" s="1">
        <v>354</v>
      </c>
      <c r="B356" s="1">
        <v>57</v>
      </c>
      <c r="C356" s="1" t="s">
        <v>32</v>
      </c>
      <c r="D356" s="1" t="s">
        <v>21</v>
      </c>
      <c r="E356" s="1" t="s">
        <v>22</v>
      </c>
      <c r="F356" s="1" t="s">
        <v>43</v>
      </c>
      <c r="G356" s="1">
        <v>2007</v>
      </c>
      <c r="H356" s="1">
        <v>7</v>
      </c>
      <c r="I356" s="1">
        <v>3</v>
      </c>
      <c r="J356" s="1" t="s">
        <v>14</v>
      </c>
      <c r="K356" s="1" t="s">
        <v>15</v>
      </c>
      <c r="L356" s="1" t="s">
        <v>16</v>
      </c>
      <c r="M356" s="1" t="s">
        <v>29</v>
      </c>
      <c r="N356" s="1" t="s">
        <v>33</v>
      </c>
      <c r="O356" s="1" t="s">
        <v>29</v>
      </c>
      <c r="P356" s="1" t="s">
        <v>29</v>
      </c>
      <c r="Q356" s="1" t="s">
        <v>19</v>
      </c>
      <c r="R356" s="1" t="s">
        <v>29</v>
      </c>
      <c r="S356" s="1" t="s">
        <v>29</v>
      </c>
      <c r="T356" s="1" t="s">
        <v>14</v>
      </c>
      <c r="U356" s="1" t="s">
        <v>348</v>
      </c>
      <c r="V356" s="1" t="s">
        <v>19</v>
      </c>
      <c r="W356" s="1" t="s">
        <v>29</v>
      </c>
      <c r="X356" s="1">
        <v>1.59</v>
      </c>
      <c r="Y356" s="1">
        <v>65</v>
      </c>
      <c r="Z356" s="3">
        <f t="shared" si="10"/>
        <v>25.711008267078039</v>
      </c>
      <c r="AA356" s="1">
        <v>99</v>
      </c>
      <c r="AB356" s="1">
        <v>101</v>
      </c>
      <c r="AC356" s="3">
        <f t="shared" si="11"/>
        <v>1.0202020202020201</v>
      </c>
      <c r="AD356" t="s">
        <v>349</v>
      </c>
      <c r="AE356">
        <v>80</v>
      </c>
      <c r="AF356">
        <v>14</v>
      </c>
      <c r="AG356">
        <v>36.799999999999997</v>
      </c>
      <c r="AH356">
        <v>16.5</v>
      </c>
    </row>
    <row r="357" spans="1:34" x14ac:dyDescent="0.25">
      <c r="A357" s="1">
        <v>355</v>
      </c>
      <c r="B357" s="1">
        <v>76</v>
      </c>
      <c r="C357" s="1" t="s">
        <v>32</v>
      </c>
      <c r="D357" s="1" t="s">
        <v>42</v>
      </c>
      <c r="E357" s="1" t="s">
        <v>22</v>
      </c>
      <c r="F357" s="1" t="s">
        <v>43</v>
      </c>
      <c r="G357" s="1">
        <v>2004</v>
      </c>
      <c r="H357" s="1">
        <v>10</v>
      </c>
      <c r="I357" s="1">
        <v>4</v>
      </c>
      <c r="J357" s="1" t="s">
        <v>350</v>
      </c>
      <c r="K357" s="1" t="s">
        <v>15</v>
      </c>
      <c r="L357" s="1" t="s">
        <v>16</v>
      </c>
      <c r="M357" s="1" t="s">
        <v>29</v>
      </c>
      <c r="N357" s="1" t="s">
        <v>33</v>
      </c>
      <c r="O357" s="1" t="s">
        <v>29</v>
      </c>
      <c r="P357" s="1" t="s">
        <v>29</v>
      </c>
      <c r="Q357" s="1" t="s">
        <v>19</v>
      </c>
      <c r="R357" s="1" t="s">
        <v>29</v>
      </c>
      <c r="S357" s="1" t="s">
        <v>29</v>
      </c>
      <c r="T357" s="1" t="s">
        <v>14</v>
      </c>
      <c r="U357" s="1" t="s">
        <v>41</v>
      </c>
      <c r="V357" s="1" t="s">
        <v>14</v>
      </c>
      <c r="W357" s="1" t="s">
        <v>41</v>
      </c>
      <c r="X357" s="1">
        <v>1.5</v>
      </c>
      <c r="Y357" s="1">
        <v>67</v>
      </c>
      <c r="Z357" s="3">
        <f t="shared" si="10"/>
        <v>29.777777777777779</v>
      </c>
      <c r="AA357" s="1">
        <v>107</v>
      </c>
      <c r="AB357" s="1">
        <v>101</v>
      </c>
      <c r="AC357" s="3">
        <f t="shared" si="11"/>
        <v>0.94392523364485981</v>
      </c>
      <c r="AD357" t="s">
        <v>351</v>
      </c>
      <c r="AE357">
        <v>76</v>
      </c>
      <c r="AF357">
        <v>18</v>
      </c>
      <c r="AG357">
        <v>37.200000000000003</v>
      </c>
      <c r="AH357">
        <v>13.2</v>
      </c>
    </row>
    <row r="358" spans="1:34" x14ac:dyDescent="0.25">
      <c r="A358" s="1">
        <v>356</v>
      </c>
      <c r="B358" s="1">
        <v>49</v>
      </c>
      <c r="C358" s="1" t="s">
        <v>62</v>
      </c>
      <c r="D358" s="1" t="s">
        <v>21</v>
      </c>
      <c r="E358" s="1" t="s">
        <v>22</v>
      </c>
      <c r="F358" s="1" t="s">
        <v>43</v>
      </c>
      <c r="G358" s="1">
        <v>2012</v>
      </c>
      <c r="H358" s="1">
        <v>2</v>
      </c>
      <c r="I358" s="1">
        <v>3</v>
      </c>
      <c r="J358" s="1" t="s">
        <v>14</v>
      </c>
      <c r="K358" s="1" t="s">
        <v>352</v>
      </c>
      <c r="L358" s="1" t="s">
        <v>16</v>
      </c>
      <c r="M358" s="1" t="s">
        <v>29</v>
      </c>
      <c r="N358" s="1" t="s">
        <v>33</v>
      </c>
      <c r="O358" s="1" t="s">
        <v>29</v>
      </c>
      <c r="P358" s="1" t="s">
        <v>29</v>
      </c>
      <c r="Q358" s="1" t="s">
        <v>19</v>
      </c>
      <c r="R358" s="1" t="s">
        <v>29</v>
      </c>
      <c r="S358" s="1" t="s">
        <v>29</v>
      </c>
      <c r="T358" s="1" t="s">
        <v>19</v>
      </c>
      <c r="U358" s="1" t="s">
        <v>29</v>
      </c>
      <c r="V358" s="1" t="s">
        <v>19</v>
      </c>
      <c r="W358" s="1" t="s">
        <v>29</v>
      </c>
      <c r="X358" s="1">
        <v>1.63</v>
      </c>
      <c r="Y358" s="1">
        <v>104</v>
      </c>
      <c r="Z358" s="3">
        <f t="shared" si="10"/>
        <v>39.143362565395762</v>
      </c>
      <c r="AA358" s="1">
        <v>130</v>
      </c>
      <c r="AB358" s="1">
        <v>127</v>
      </c>
      <c r="AC358" s="3">
        <f t="shared" si="11"/>
        <v>0.97692307692307689</v>
      </c>
      <c r="AD358" t="s">
        <v>221</v>
      </c>
      <c r="AE358">
        <v>98</v>
      </c>
      <c r="AF358">
        <v>16</v>
      </c>
      <c r="AG358">
        <v>37</v>
      </c>
      <c r="AH358">
        <v>13.1</v>
      </c>
    </row>
    <row r="359" spans="1:34" x14ac:dyDescent="0.25">
      <c r="A359" s="1">
        <v>357</v>
      </c>
      <c r="B359" s="1">
        <v>58</v>
      </c>
      <c r="C359" s="1" t="s">
        <v>32</v>
      </c>
      <c r="D359" s="1" t="s">
        <v>21</v>
      </c>
      <c r="E359" s="1" t="s">
        <v>36</v>
      </c>
      <c r="F359" s="1" t="s">
        <v>50</v>
      </c>
      <c r="G359" s="1">
        <v>2006</v>
      </c>
      <c r="H359" s="1">
        <v>8</v>
      </c>
      <c r="I359" s="1">
        <v>4</v>
      </c>
      <c r="J359" s="1" t="s">
        <v>14</v>
      </c>
      <c r="K359" s="1" t="s">
        <v>15</v>
      </c>
      <c r="L359" s="1" t="s">
        <v>16</v>
      </c>
      <c r="M359" s="1" t="s">
        <v>17</v>
      </c>
      <c r="N359" s="1" t="s">
        <v>33</v>
      </c>
      <c r="O359" s="1" t="s">
        <v>29</v>
      </c>
      <c r="P359" s="1" t="s">
        <v>29</v>
      </c>
      <c r="Q359" s="1" t="s">
        <v>19</v>
      </c>
      <c r="R359" s="1" t="s">
        <v>29</v>
      </c>
      <c r="S359" s="1" t="s">
        <v>29</v>
      </c>
      <c r="T359" s="1" t="s">
        <v>14</v>
      </c>
      <c r="U359" s="1" t="s">
        <v>348</v>
      </c>
      <c r="V359" s="1" t="s">
        <v>19</v>
      </c>
      <c r="W359" s="1" t="s">
        <v>29</v>
      </c>
      <c r="X359" s="1">
        <v>1.58</v>
      </c>
      <c r="Y359" s="1">
        <v>67</v>
      </c>
      <c r="Z359" s="3">
        <f t="shared" si="10"/>
        <v>26.83864765261977</v>
      </c>
      <c r="AA359" s="1">
        <v>102</v>
      </c>
      <c r="AB359" s="1">
        <v>92</v>
      </c>
      <c r="AC359" s="3">
        <f t="shared" si="11"/>
        <v>0.90196078431372551</v>
      </c>
      <c r="AD359" t="s">
        <v>171</v>
      </c>
      <c r="AE359">
        <v>60</v>
      </c>
      <c r="AF359">
        <v>16</v>
      </c>
      <c r="AG359">
        <v>36.9</v>
      </c>
      <c r="AH359">
        <v>4.5</v>
      </c>
    </row>
    <row r="360" spans="1:34" x14ac:dyDescent="0.25">
      <c r="A360" s="1">
        <v>358</v>
      </c>
      <c r="B360" s="1">
        <v>39</v>
      </c>
      <c r="C360" s="1" t="s">
        <v>32</v>
      </c>
      <c r="D360" s="1" t="s">
        <v>21</v>
      </c>
      <c r="E360" s="1" t="s">
        <v>22</v>
      </c>
      <c r="F360" s="1" t="s">
        <v>43</v>
      </c>
      <c r="G360" s="1">
        <v>2010</v>
      </c>
      <c r="H360" s="1">
        <v>4</v>
      </c>
      <c r="I360" s="1">
        <v>3</v>
      </c>
      <c r="J360" s="1" t="s">
        <v>19</v>
      </c>
      <c r="K360" s="1" t="s">
        <v>29</v>
      </c>
      <c r="L360" s="1" t="s">
        <v>18</v>
      </c>
      <c r="M360" s="1" t="s">
        <v>29</v>
      </c>
      <c r="N360" s="1" t="s">
        <v>33</v>
      </c>
      <c r="O360" s="1" t="s">
        <v>29</v>
      </c>
      <c r="P360" s="1" t="s">
        <v>29</v>
      </c>
      <c r="Q360" s="1" t="s">
        <v>19</v>
      </c>
      <c r="R360" s="1" t="s">
        <v>29</v>
      </c>
      <c r="S360" s="1" t="s">
        <v>29</v>
      </c>
      <c r="T360" s="1" t="s">
        <v>19</v>
      </c>
      <c r="U360" s="1" t="s">
        <v>29</v>
      </c>
      <c r="V360" s="1" t="s">
        <v>19</v>
      </c>
      <c r="W360" s="1" t="s">
        <v>29</v>
      </c>
      <c r="X360" s="1">
        <v>1.48</v>
      </c>
      <c r="Y360" s="1">
        <v>67</v>
      </c>
      <c r="Z360" s="3">
        <f t="shared" si="10"/>
        <v>30.588020452885321</v>
      </c>
      <c r="AA360" s="1">
        <v>107</v>
      </c>
      <c r="AB360" s="1">
        <v>90</v>
      </c>
      <c r="AC360" s="3">
        <f t="shared" si="11"/>
        <v>0.84112149532710279</v>
      </c>
      <c r="AD360" t="s">
        <v>353</v>
      </c>
      <c r="AE360">
        <v>88</v>
      </c>
      <c r="AF360">
        <v>14</v>
      </c>
      <c r="AG360">
        <v>37.1</v>
      </c>
      <c r="AH360">
        <v>14.2</v>
      </c>
    </row>
    <row r="361" spans="1:34" x14ac:dyDescent="0.25">
      <c r="A361" s="1">
        <v>359</v>
      </c>
      <c r="B361" s="1">
        <v>80</v>
      </c>
      <c r="C361" s="1" t="s">
        <v>32</v>
      </c>
      <c r="D361" s="1" t="s">
        <v>42</v>
      </c>
      <c r="E361" s="1" t="s">
        <v>22</v>
      </c>
      <c r="F361" s="1" t="s">
        <v>38</v>
      </c>
      <c r="G361" s="1">
        <v>1987</v>
      </c>
      <c r="H361" s="1">
        <v>27</v>
      </c>
      <c r="I361" s="1">
        <v>4</v>
      </c>
      <c r="J361" s="1" t="s">
        <v>14</v>
      </c>
      <c r="K361" s="1" t="s">
        <v>15</v>
      </c>
      <c r="L361" s="1" t="s">
        <v>16</v>
      </c>
      <c r="M361" s="1" t="s">
        <v>29</v>
      </c>
      <c r="N361" s="1" t="s">
        <v>33</v>
      </c>
      <c r="O361" s="1" t="s">
        <v>29</v>
      </c>
      <c r="P361" s="1" t="s">
        <v>29</v>
      </c>
      <c r="Q361" s="1" t="s">
        <v>19</v>
      </c>
      <c r="R361" s="1" t="s">
        <v>29</v>
      </c>
      <c r="S361" s="1" t="s">
        <v>29</v>
      </c>
      <c r="T361" s="1" t="s">
        <v>14</v>
      </c>
      <c r="U361" s="1" t="s">
        <v>46</v>
      </c>
      <c r="V361" s="1" t="s">
        <v>14</v>
      </c>
      <c r="W361" s="1" t="s">
        <v>46</v>
      </c>
      <c r="X361" s="1">
        <v>1.53</v>
      </c>
      <c r="Y361" s="1">
        <v>69</v>
      </c>
      <c r="Z361" s="3">
        <f t="shared" si="10"/>
        <v>29.475842624631554</v>
      </c>
      <c r="AA361" s="1">
        <v>98</v>
      </c>
      <c r="AB361" s="1">
        <v>110</v>
      </c>
      <c r="AC361" s="3">
        <f t="shared" si="11"/>
        <v>1.1224489795918366</v>
      </c>
      <c r="AD361" t="s">
        <v>341</v>
      </c>
      <c r="AE361">
        <v>56</v>
      </c>
      <c r="AF361">
        <v>14</v>
      </c>
      <c r="AG361">
        <v>36.9</v>
      </c>
      <c r="AH361">
        <v>7.7</v>
      </c>
    </row>
    <row r="362" spans="1:34" x14ac:dyDescent="0.25">
      <c r="A362" s="1">
        <v>360</v>
      </c>
      <c r="B362" s="1">
        <v>64</v>
      </c>
      <c r="C362" s="1" t="s">
        <v>32</v>
      </c>
      <c r="D362" s="1" t="s">
        <v>42</v>
      </c>
      <c r="E362" s="1" t="s">
        <v>22</v>
      </c>
      <c r="F362" s="1" t="s">
        <v>43</v>
      </c>
      <c r="G362" s="1">
        <v>2012</v>
      </c>
      <c r="H362" s="1">
        <v>2</v>
      </c>
      <c r="I362" s="1">
        <v>3</v>
      </c>
      <c r="J362" s="1" t="s">
        <v>14</v>
      </c>
      <c r="K362" s="1" t="s">
        <v>15</v>
      </c>
      <c r="L362" s="1" t="s">
        <v>16</v>
      </c>
      <c r="M362" s="1" t="s">
        <v>16</v>
      </c>
      <c r="N362" s="1" t="s">
        <v>33</v>
      </c>
      <c r="O362" s="1" t="s">
        <v>29</v>
      </c>
      <c r="P362" s="1" t="s">
        <v>29</v>
      </c>
      <c r="Q362" s="1" t="s">
        <v>19</v>
      </c>
      <c r="R362" s="1" t="s">
        <v>29</v>
      </c>
      <c r="S362" s="1" t="s">
        <v>29</v>
      </c>
      <c r="T362" s="1" t="s">
        <v>14</v>
      </c>
      <c r="U362" s="1" t="s">
        <v>75</v>
      </c>
      <c r="V362" s="1" t="s">
        <v>14</v>
      </c>
      <c r="W362" s="1" t="s">
        <v>75</v>
      </c>
      <c r="X362" s="1">
        <v>1.65</v>
      </c>
      <c r="Y362" s="1">
        <v>74</v>
      </c>
      <c r="Z362" s="3">
        <f t="shared" si="10"/>
        <v>27.180899908172638</v>
      </c>
      <c r="AA362" s="1">
        <v>112</v>
      </c>
      <c r="AB362" s="1">
        <v>104</v>
      </c>
      <c r="AC362" s="3">
        <f t="shared" si="11"/>
        <v>0.9285714285714286</v>
      </c>
      <c r="AD362" t="s">
        <v>171</v>
      </c>
      <c r="AE362">
        <v>80</v>
      </c>
      <c r="AF362">
        <v>16</v>
      </c>
      <c r="AG362">
        <v>36.799999999999997</v>
      </c>
      <c r="AH362">
        <v>5.2</v>
      </c>
    </row>
    <row r="363" spans="1:34" x14ac:dyDescent="0.25">
      <c r="A363" s="1">
        <v>361</v>
      </c>
      <c r="B363" s="1">
        <v>62</v>
      </c>
      <c r="C363" s="1" t="s">
        <v>32</v>
      </c>
      <c r="D363" s="1" t="s">
        <v>21</v>
      </c>
      <c r="E363" s="1" t="s">
        <v>22</v>
      </c>
      <c r="F363" s="1" t="s">
        <v>43</v>
      </c>
      <c r="G363" s="1">
        <v>2006</v>
      </c>
      <c r="H363" s="1">
        <v>8</v>
      </c>
      <c r="I363" s="1">
        <v>4</v>
      </c>
      <c r="J363" s="1" t="s">
        <v>14</v>
      </c>
      <c r="K363" s="1" t="s">
        <v>15</v>
      </c>
      <c r="L363" s="1" t="s">
        <v>18</v>
      </c>
      <c r="M363" s="1" t="s">
        <v>16</v>
      </c>
      <c r="N363" s="1" t="s">
        <v>33</v>
      </c>
      <c r="O363" s="1" t="s">
        <v>29</v>
      </c>
      <c r="P363" s="1" t="s">
        <v>29</v>
      </c>
      <c r="Q363" s="1" t="s">
        <v>19</v>
      </c>
      <c r="R363" s="1" t="s">
        <v>29</v>
      </c>
      <c r="S363" s="1" t="s">
        <v>29</v>
      </c>
      <c r="T363" s="1" t="s">
        <v>14</v>
      </c>
      <c r="U363" s="1" t="s">
        <v>75</v>
      </c>
      <c r="V363" s="1" t="s">
        <v>19</v>
      </c>
      <c r="W363" s="1" t="s">
        <v>29</v>
      </c>
      <c r="X363" s="1">
        <v>1.52</v>
      </c>
      <c r="Y363" s="1">
        <v>73</v>
      </c>
      <c r="Z363" s="3">
        <f t="shared" si="10"/>
        <v>31.596260387811633</v>
      </c>
      <c r="AA363" s="1">
        <v>112</v>
      </c>
      <c r="AB363" s="1">
        <v>104</v>
      </c>
      <c r="AC363" s="3">
        <f t="shared" si="11"/>
        <v>0.9285714285714286</v>
      </c>
      <c r="AD363" t="s">
        <v>354</v>
      </c>
      <c r="AE363">
        <v>76</v>
      </c>
      <c r="AF363">
        <v>12</v>
      </c>
      <c r="AG363">
        <v>36.9</v>
      </c>
      <c r="AH363">
        <v>7.3</v>
      </c>
    </row>
    <row r="364" spans="1:34" x14ac:dyDescent="0.25">
      <c r="A364" s="1">
        <v>362</v>
      </c>
      <c r="B364" s="1">
        <v>67</v>
      </c>
      <c r="C364" s="1" t="s">
        <v>11</v>
      </c>
      <c r="D364" s="1" t="s">
        <v>21</v>
      </c>
      <c r="E364" s="1" t="s">
        <v>22</v>
      </c>
      <c r="F364" s="1" t="s">
        <v>38</v>
      </c>
      <c r="G364" s="1">
        <v>2005</v>
      </c>
      <c r="H364" s="1">
        <v>9</v>
      </c>
      <c r="I364" s="1">
        <v>4</v>
      </c>
      <c r="J364" s="1" t="s">
        <v>14</v>
      </c>
      <c r="K364" s="1" t="s">
        <v>15</v>
      </c>
      <c r="L364" s="1" t="s">
        <v>16</v>
      </c>
      <c r="M364" s="1" t="s">
        <v>29</v>
      </c>
      <c r="N364" s="1" t="s">
        <v>25</v>
      </c>
      <c r="O364" s="1" t="s">
        <v>26</v>
      </c>
      <c r="P364" s="1" t="s">
        <v>40</v>
      </c>
      <c r="Q364" s="1" t="s">
        <v>14</v>
      </c>
      <c r="R364" s="4" t="s">
        <v>61</v>
      </c>
      <c r="S364" s="4" t="s">
        <v>61</v>
      </c>
      <c r="T364" s="1" t="s">
        <v>14</v>
      </c>
      <c r="U364" s="1" t="s">
        <v>41</v>
      </c>
      <c r="V364" s="1" t="s">
        <v>19</v>
      </c>
      <c r="W364" s="1" t="s">
        <v>29</v>
      </c>
      <c r="X364" s="1">
        <v>1.62</v>
      </c>
      <c r="Y364" s="1">
        <v>76</v>
      </c>
      <c r="Z364" s="3">
        <f t="shared" si="10"/>
        <v>28.959000152415786</v>
      </c>
      <c r="AA364" s="1">
        <v>99</v>
      </c>
      <c r="AB364" s="1">
        <v>105</v>
      </c>
      <c r="AC364" s="3">
        <f t="shared" si="11"/>
        <v>1.0606060606060606</v>
      </c>
      <c r="AD364" t="s">
        <v>355</v>
      </c>
      <c r="AE364">
        <v>80</v>
      </c>
      <c r="AF364">
        <v>16</v>
      </c>
      <c r="AG364">
        <v>37</v>
      </c>
      <c r="AH364">
        <v>12.5</v>
      </c>
    </row>
    <row r="365" spans="1:34" x14ac:dyDescent="0.25">
      <c r="A365" s="1">
        <v>363</v>
      </c>
      <c r="B365" s="1">
        <v>67</v>
      </c>
      <c r="C365" s="1" t="s">
        <v>32</v>
      </c>
      <c r="D365" s="1" t="s">
        <v>42</v>
      </c>
      <c r="E365" s="1" t="s">
        <v>22</v>
      </c>
      <c r="F365" s="1" t="s">
        <v>38</v>
      </c>
      <c r="G365" s="1">
        <v>1998</v>
      </c>
      <c r="H365" s="1">
        <v>16</v>
      </c>
      <c r="I365" s="1">
        <v>4</v>
      </c>
      <c r="J365" s="1" t="s">
        <v>14</v>
      </c>
      <c r="K365" s="1" t="s">
        <v>15</v>
      </c>
      <c r="L365" s="1" t="s">
        <v>16</v>
      </c>
      <c r="M365" s="1" t="s">
        <v>16</v>
      </c>
      <c r="N365" s="1" t="s">
        <v>33</v>
      </c>
      <c r="O365" s="1" t="s">
        <v>29</v>
      </c>
      <c r="P365" s="1" t="s">
        <v>29</v>
      </c>
      <c r="Q365" s="1" t="s">
        <v>19</v>
      </c>
      <c r="R365" s="1" t="s">
        <v>29</v>
      </c>
      <c r="S365" s="1" t="s">
        <v>29</v>
      </c>
      <c r="T365" s="1" t="s">
        <v>19</v>
      </c>
      <c r="U365" s="1" t="s">
        <v>29</v>
      </c>
      <c r="V365" s="1" t="s">
        <v>19</v>
      </c>
      <c r="W365" s="1" t="s">
        <v>29</v>
      </c>
      <c r="X365" s="1">
        <v>1.47</v>
      </c>
      <c r="Y365" s="1">
        <v>66</v>
      </c>
      <c r="Z365" s="3">
        <f t="shared" si="10"/>
        <v>30.542829376648623</v>
      </c>
      <c r="AA365" s="1">
        <v>113</v>
      </c>
      <c r="AB365" s="1">
        <v>108</v>
      </c>
      <c r="AC365" s="3">
        <f t="shared" si="11"/>
        <v>0.95575221238938057</v>
      </c>
      <c r="AD365" t="s">
        <v>356</v>
      </c>
      <c r="AE365">
        <v>112</v>
      </c>
      <c r="AF365">
        <v>20</v>
      </c>
      <c r="AG365">
        <v>36.4</v>
      </c>
      <c r="AH365">
        <v>15.5</v>
      </c>
    </row>
    <row r="366" spans="1:34" x14ac:dyDescent="0.25">
      <c r="A366" s="1">
        <v>364</v>
      </c>
      <c r="B366" s="1">
        <v>54</v>
      </c>
      <c r="C366" s="1" t="s">
        <v>32</v>
      </c>
      <c r="D366" s="1" t="s">
        <v>21</v>
      </c>
      <c r="E366" s="1" t="s">
        <v>34</v>
      </c>
      <c r="F366" s="1" t="s">
        <v>50</v>
      </c>
      <c r="G366" s="1">
        <v>2004</v>
      </c>
      <c r="H366" s="1">
        <v>10</v>
      </c>
      <c r="I366" s="1">
        <v>3</v>
      </c>
      <c r="J366" s="1" t="s">
        <v>14</v>
      </c>
      <c r="K366" s="1" t="s">
        <v>15</v>
      </c>
      <c r="L366" s="1" t="s">
        <v>16</v>
      </c>
      <c r="M366" s="1" t="s">
        <v>29</v>
      </c>
      <c r="N366" s="1" t="s">
        <v>33</v>
      </c>
      <c r="O366" s="1" t="s">
        <v>29</v>
      </c>
      <c r="P366" s="1" t="s">
        <v>29</v>
      </c>
      <c r="Q366" s="1" t="s">
        <v>19</v>
      </c>
      <c r="R366" s="1" t="s">
        <v>29</v>
      </c>
      <c r="S366" s="1" t="s">
        <v>29</v>
      </c>
      <c r="T366" s="1" t="s">
        <v>19</v>
      </c>
      <c r="U366" s="1" t="s">
        <v>29</v>
      </c>
      <c r="V366" s="1" t="s">
        <v>14</v>
      </c>
      <c r="W366" s="1" t="s">
        <v>59</v>
      </c>
      <c r="X366" s="1">
        <v>1.58</v>
      </c>
      <c r="Y366" s="1">
        <v>85</v>
      </c>
      <c r="Z366" s="3">
        <f t="shared" si="10"/>
        <v>34.049030604069856</v>
      </c>
      <c r="AA366" s="1">
        <v>106</v>
      </c>
      <c r="AB366" s="1">
        <v>120</v>
      </c>
      <c r="AC366" s="3">
        <f t="shared" si="11"/>
        <v>1.1320754716981132</v>
      </c>
      <c r="AD366" t="s">
        <v>169</v>
      </c>
      <c r="AE366">
        <v>72</v>
      </c>
      <c r="AF366">
        <v>18</v>
      </c>
      <c r="AG366">
        <v>36.799999999999997</v>
      </c>
      <c r="AH366" s="45"/>
    </row>
    <row r="367" spans="1:34" x14ac:dyDescent="0.25">
      <c r="A367" s="1">
        <v>365</v>
      </c>
      <c r="B367" s="1">
        <v>52</v>
      </c>
      <c r="C367" s="1" t="s">
        <v>32</v>
      </c>
      <c r="D367" s="1" t="s">
        <v>21</v>
      </c>
      <c r="E367" s="1" t="s">
        <v>22</v>
      </c>
      <c r="F367" s="1" t="s">
        <v>38</v>
      </c>
      <c r="G367" s="1">
        <v>2013</v>
      </c>
      <c r="H367" s="1">
        <v>1</v>
      </c>
      <c r="I367" s="1">
        <v>3</v>
      </c>
      <c r="J367" s="1" t="s">
        <v>14</v>
      </c>
      <c r="K367" s="1" t="s">
        <v>15</v>
      </c>
      <c r="L367" s="1" t="s">
        <v>16</v>
      </c>
      <c r="M367" s="1" t="s">
        <v>29</v>
      </c>
      <c r="N367" s="1" t="s">
        <v>33</v>
      </c>
      <c r="O367" s="1" t="s">
        <v>29</v>
      </c>
      <c r="P367" s="1" t="s">
        <v>29</v>
      </c>
      <c r="Q367" s="1" t="s">
        <v>19</v>
      </c>
      <c r="R367" s="1" t="s">
        <v>29</v>
      </c>
      <c r="S367" s="1" t="s">
        <v>29</v>
      </c>
      <c r="T367" s="1" t="s">
        <v>19</v>
      </c>
      <c r="U367" s="1" t="s">
        <v>29</v>
      </c>
      <c r="V367" s="1" t="s">
        <v>19</v>
      </c>
      <c r="W367" s="1" t="s">
        <v>29</v>
      </c>
      <c r="X367" s="1">
        <v>1.53</v>
      </c>
      <c r="Y367" s="1">
        <v>96</v>
      </c>
      <c r="Z367" s="3">
        <f t="shared" si="10"/>
        <v>41.009867999487376</v>
      </c>
      <c r="AA367" s="1">
        <v>127</v>
      </c>
      <c r="AB367" s="1">
        <v>135</v>
      </c>
      <c r="AC367" s="3">
        <f t="shared" si="11"/>
        <v>1.0629921259842521</v>
      </c>
      <c r="AD367" t="s">
        <v>172</v>
      </c>
      <c r="AE367">
        <v>80</v>
      </c>
      <c r="AF367">
        <v>16</v>
      </c>
      <c r="AG367">
        <v>36.5</v>
      </c>
      <c r="AH367">
        <v>7.9</v>
      </c>
    </row>
    <row r="368" spans="1:34" x14ac:dyDescent="0.25">
      <c r="A368" s="1">
        <v>366</v>
      </c>
      <c r="B368" s="1">
        <v>72</v>
      </c>
      <c r="C368" s="1" t="s">
        <v>11</v>
      </c>
      <c r="D368" s="1" t="s">
        <v>21</v>
      </c>
      <c r="E368" s="1" t="s">
        <v>22</v>
      </c>
      <c r="F368" s="1" t="s">
        <v>23</v>
      </c>
      <c r="G368" s="1">
        <v>2007</v>
      </c>
      <c r="H368" s="1">
        <v>7</v>
      </c>
      <c r="I368" s="1">
        <v>4</v>
      </c>
      <c r="J368" s="1" t="s">
        <v>14</v>
      </c>
      <c r="K368" s="1" t="s">
        <v>15</v>
      </c>
      <c r="L368" s="1" t="s">
        <v>18</v>
      </c>
      <c r="M368" s="1" t="s">
        <v>29</v>
      </c>
      <c r="N368" s="1" t="s">
        <v>33</v>
      </c>
      <c r="O368" s="1" t="s">
        <v>29</v>
      </c>
      <c r="P368" s="1" t="s">
        <v>29</v>
      </c>
      <c r="Q368" s="1" t="s">
        <v>14</v>
      </c>
      <c r="R368" s="1" t="s">
        <v>27</v>
      </c>
      <c r="S368" s="4" t="s">
        <v>61</v>
      </c>
      <c r="T368" s="1" t="s">
        <v>14</v>
      </c>
      <c r="U368" s="1" t="s">
        <v>75</v>
      </c>
      <c r="V368" s="1" t="s">
        <v>19</v>
      </c>
      <c r="W368" s="1" t="s">
        <v>29</v>
      </c>
      <c r="X368" s="1">
        <v>1.68</v>
      </c>
      <c r="Y368" s="1">
        <v>83</v>
      </c>
      <c r="Z368" s="3">
        <f t="shared" si="10"/>
        <v>29.407596371882089</v>
      </c>
      <c r="AA368" s="1">
        <v>100</v>
      </c>
      <c r="AB368" s="1">
        <v>113</v>
      </c>
      <c r="AC368" s="3">
        <f t="shared" si="11"/>
        <v>1.1299999999999999</v>
      </c>
      <c r="AD368" t="s">
        <v>357</v>
      </c>
      <c r="AE368">
        <v>82</v>
      </c>
      <c r="AF368">
        <v>14</v>
      </c>
      <c r="AG368">
        <v>36.799999999999997</v>
      </c>
      <c r="AH368">
        <v>4.8</v>
      </c>
    </row>
    <row r="369" spans="1:34" x14ac:dyDescent="0.25">
      <c r="A369" s="1">
        <v>367</v>
      </c>
      <c r="B369" s="1">
        <v>78</v>
      </c>
      <c r="C369" s="1" t="s">
        <v>32</v>
      </c>
      <c r="D369" s="1" t="s">
        <v>42</v>
      </c>
      <c r="E369" s="1" t="s">
        <v>37</v>
      </c>
      <c r="F369" s="1" t="s">
        <v>43</v>
      </c>
      <c r="G369" s="1">
        <v>1999</v>
      </c>
      <c r="H369" s="1">
        <v>15</v>
      </c>
      <c r="I369" s="1">
        <v>4</v>
      </c>
      <c r="J369" s="1" t="s">
        <v>14</v>
      </c>
      <c r="K369" s="1" t="s">
        <v>15</v>
      </c>
      <c r="L369" s="1" t="s">
        <v>18</v>
      </c>
      <c r="M369" s="1" t="s">
        <v>29</v>
      </c>
      <c r="N369" s="1" t="s">
        <v>33</v>
      </c>
      <c r="O369" s="1" t="s">
        <v>29</v>
      </c>
      <c r="P369" s="1" t="s">
        <v>29</v>
      </c>
      <c r="Q369" s="1" t="s">
        <v>19</v>
      </c>
      <c r="R369" s="1" t="s">
        <v>29</v>
      </c>
      <c r="S369" s="1" t="s">
        <v>29</v>
      </c>
      <c r="T369" s="1" t="s">
        <v>14</v>
      </c>
      <c r="U369" s="1" t="s">
        <v>53</v>
      </c>
      <c r="V369" s="1" t="s">
        <v>14</v>
      </c>
      <c r="W369" s="1" t="s">
        <v>141</v>
      </c>
      <c r="X369" s="1">
        <v>1.5</v>
      </c>
      <c r="Y369" s="1">
        <v>68</v>
      </c>
      <c r="Z369" s="3">
        <f t="shared" si="10"/>
        <v>30.222222222222221</v>
      </c>
      <c r="AA369" s="1">
        <v>102</v>
      </c>
      <c r="AB369" s="1">
        <v>100</v>
      </c>
      <c r="AC369" s="3">
        <f t="shared" si="11"/>
        <v>0.98039215686274506</v>
      </c>
      <c r="AD369" t="s">
        <v>358</v>
      </c>
      <c r="AE369">
        <v>110</v>
      </c>
      <c r="AF369">
        <v>18</v>
      </c>
      <c r="AG369">
        <v>37.200000000000003</v>
      </c>
      <c r="AH369">
        <v>12.5</v>
      </c>
    </row>
    <row r="370" spans="1:34" x14ac:dyDescent="0.25">
      <c r="A370" s="1">
        <v>368</v>
      </c>
      <c r="B370" s="1">
        <v>60</v>
      </c>
      <c r="C370" s="1" t="s">
        <v>32</v>
      </c>
      <c r="D370" s="1" t="s">
        <v>42</v>
      </c>
      <c r="E370" s="1" t="s">
        <v>22</v>
      </c>
      <c r="F370" s="1" t="s">
        <v>38</v>
      </c>
      <c r="G370" s="1">
        <v>2004</v>
      </c>
      <c r="H370" s="1">
        <v>10</v>
      </c>
      <c r="I370" s="1">
        <v>4</v>
      </c>
      <c r="J370" s="1" t="s">
        <v>14</v>
      </c>
      <c r="K370" s="1" t="s">
        <v>15</v>
      </c>
      <c r="L370" s="1" t="s">
        <v>129</v>
      </c>
      <c r="M370" s="1" t="s">
        <v>29</v>
      </c>
      <c r="N370" s="1" t="s">
        <v>33</v>
      </c>
      <c r="O370" s="1" t="s">
        <v>29</v>
      </c>
      <c r="P370" s="1" t="s">
        <v>29</v>
      </c>
      <c r="Q370" s="1" t="s">
        <v>19</v>
      </c>
      <c r="R370" s="1" t="s">
        <v>29</v>
      </c>
      <c r="S370" s="1" t="s">
        <v>29</v>
      </c>
      <c r="T370" s="1" t="s">
        <v>14</v>
      </c>
      <c r="U370" s="1" t="s">
        <v>126</v>
      </c>
      <c r="V370" s="1" t="s">
        <v>19</v>
      </c>
      <c r="W370" s="1" t="s">
        <v>29</v>
      </c>
      <c r="X370" s="1">
        <v>1.67</v>
      </c>
      <c r="Y370" s="1">
        <v>68</v>
      </c>
      <c r="Z370" s="3">
        <f t="shared" si="10"/>
        <v>24.382372978593711</v>
      </c>
      <c r="AA370" s="1">
        <v>110</v>
      </c>
      <c r="AB370" s="1">
        <v>97</v>
      </c>
      <c r="AC370" s="3">
        <f t="shared" si="11"/>
        <v>0.88181818181818183</v>
      </c>
      <c r="AD370" t="s">
        <v>359</v>
      </c>
      <c r="AE370">
        <v>82</v>
      </c>
      <c r="AF370">
        <v>16</v>
      </c>
      <c r="AG370">
        <v>37</v>
      </c>
      <c r="AH370">
        <v>5.9</v>
      </c>
    </row>
    <row r="371" spans="1:34" x14ac:dyDescent="0.25">
      <c r="A371" s="1">
        <v>369</v>
      </c>
      <c r="B371" s="1">
        <v>81</v>
      </c>
      <c r="C371" s="1" t="s">
        <v>32</v>
      </c>
      <c r="D371" s="1" t="s">
        <v>42</v>
      </c>
      <c r="E371" s="1" t="s">
        <v>22</v>
      </c>
      <c r="F371" s="1" t="s">
        <v>43</v>
      </c>
      <c r="G371" s="1">
        <v>2009</v>
      </c>
      <c r="H371" s="1">
        <v>5</v>
      </c>
      <c r="I371" s="1">
        <v>3</v>
      </c>
      <c r="J371" s="1" t="s">
        <v>14</v>
      </c>
      <c r="K371" s="1" t="s">
        <v>360</v>
      </c>
      <c r="L371" s="44" t="s">
        <v>16</v>
      </c>
      <c r="M371" s="44" t="s">
        <v>17</v>
      </c>
      <c r="N371" s="1" t="s">
        <v>33</v>
      </c>
      <c r="O371" s="1" t="s">
        <v>29</v>
      </c>
      <c r="P371" s="1" t="s">
        <v>29</v>
      </c>
      <c r="Q371" s="1" t="s">
        <v>19</v>
      </c>
      <c r="R371" s="1" t="s">
        <v>29</v>
      </c>
      <c r="S371" s="1" t="s">
        <v>29</v>
      </c>
      <c r="T371" s="1" t="s">
        <v>19</v>
      </c>
      <c r="U371" s="1" t="s">
        <v>29</v>
      </c>
      <c r="V371" s="1" t="s">
        <v>19</v>
      </c>
      <c r="W371" s="1" t="s">
        <v>29</v>
      </c>
      <c r="X371" s="1">
        <v>1.49</v>
      </c>
      <c r="Y371" s="1">
        <v>56</v>
      </c>
      <c r="Z371" s="3">
        <f t="shared" si="10"/>
        <v>25.224089004999776</v>
      </c>
      <c r="AA371" s="1">
        <v>102</v>
      </c>
      <c r="AB371" s="1">
        <v>99</v>
      </c>
      <c r="AC371" s="3">
        <f t="shared" si="11"/>
        <v>0.97058823529411764</v>
      </c>
      <c r="AD371" t="s">
        <v>178</v>
      </c>
      <c r="AE371">
        <v>78</v>
      </c>
      <c r="AF371">
        <v>18</v>
      </c>
      <c r="AG371">
        <v>36.799999999999997</v>
      </c>
      <c r="AH371">
        <v>4.5</v>
      </c>
    </row>
    <row r="372" spans="1:34" x14ac:dyDescent="0.25">
      <c r="A372" s="1">
        <v>370</v>
      </c>
      <c r="B372" s="1">
        <v>65</v>
      </c>
      <c r="C372" s="1" t="s">
        <v>11</v>
      </c>
      <c r="D372" s="1" t="s">
        <v>21</v>
      </c>
      <c r="E372" s="1" t="s">
        <v>36</v>
      </c>
      <c r="F372" s="1" t="s">
        <v>23</v>
      </c>
      <c r="G372" s="1">
        <v>1994</v>
      </c>
      <c r="H372" s="1">
        <v>20</v>
      </c>
      <c r="I372" s="1">
        <v>4</v>
      </c>
      <c r="J372" s="1" t="s">
        <v>14</v>
      </c>
      <c r="K372" s="1" t="s">
        <v>15</v>
      </c>
      <c r="L372" s="1" t="s">
        <v>16</v>
      </c>
      <c r="M372" s="1" t="s">
        <v>12</v>
      </c>
      <c r="N372" s="1" t="s">
        <v>33</v>
      </c>
      <c r="O372" s="1" t="s">
        <v>29</v>
      </c>
      <c r="P372" s="1" t="s">
        <v>29</v>
      </c>
      <c r="Q372" s="1" t="s">
        <v>14</v>
      </c>
      <c r="R372" s="1" t="s">
        <v>58</v>
      </c>
      <c r="S372" s="1" t="s">
        <v>58</v>
      </c>
      <c r="T372" s="1" t="s">
        <v>19</v>
      </c>
      <c r="U372" s="1" t="s">
        <v>29</v>
      </c>
      <c r="V372" s="1" t="s">
        <v>19</v>
      </c>
      <c r="W372" s="1" t="s">
        <v>29</v>
      </c>
      <c r="X372" s="1">
        <v>1.55</v>
      </c>
      <c r="Y372" s="1">
        <v>74</v>
      </c>
      <c r="Z372" s="3">
        <f t="shared" si="10"/>
        <v>30.801248699271589</v>
      </c>
      <c r="AA372" s="1">
        <v>102</v>
      </c>
      <c r="AB372" s="1">
        <v>106</v>
      </c>
      <c r="AC372" s="3">
        <f t="shared" si="11"/>
        <v>1.0392156862745099</v>
      </c>
      <c r="AD372" t="s">
        <v>165</v>
      </c>
      <c r="AE372">
        <v>80</v>
      </c>
      <c r="AF372">
        <v>14</v>
      </c>
      <c r="AG372">
        <v>37</v>
      </c>
      <c r="AH372">
        <v>14</v>
      </c>
    </row>
    <row r="373" spans="1:34" x14ac:dyDescent="0.25">
      <c r="A373" s="1">
        <v>371</v>
      </c>
      <c r="B373" s="1">
        <v>62</v>
      </c>
      <c r="C373" s="1" t="s">
        <v>32</v>
      </c>
      <c r="D373" s="1" t="s">
        <v>21</v>
      </c>
      <c r="E373" s="1" t="s">
        <v>22</v>
      </c>
      <c r="F373" s="1" t="s">
        <v>43</v>
      </c>
      <c r="G373" s="1">
        <v>2004</v>
      </c>
      <c r="H373" s="1">
        <v>10</v>
      </c>
      <c r="I373" s="1">
        <v>4</v>
      </c>
      <c r="J373" s="1" t="s">
        <v>14</v>
      </c>
      <c r="K373" s="1" t="s">
        <v>15</v>
      </c>
      <c r="L373" s="1" t="s">
        <v>16</v>
      </c>
      <c r="M373" s="1" t="s">
        <v>29</v>
      </c>
      <c r="N373" s="1" t="s">
        <v>33</v>
      </c>
      <c r="O373" s="1" t="s">
        <v>29</v>
      </c>
      <c r="P373" s="1" t="s">
        <v>29</v>
      </c>
      <c r="Q373" s="1" t="s">
        <v>19</v>
      </c>
      <c r="R373" s="1" t="s">
        <v>29</v>
      </c>
      <c r="S373" s="1" t="s">
        <v>29</v>
      </c>
      <c r="T373" s="1" t="s">
        <v>19</v>
      </c>
      <c r="U373" s="1" t="s">
        <v>29</v>
      </c>
      <c r="V373" s="1" t="s">
        <v>19</v>
      </c>
      <c r="W373" s="1" t="s">
        <v>29</v>
      </c>
      <c r="X373" s="1">
        <v>1.53</v>
      </c>
      <c r="Y373" s="1">
        <v>68</v>
      </c>
      <c r="Z373" s="3">
        <f t="shared" si="10"/>
        <v>29.048656499636891</v>
      </c>
      <c r="AA373" s="1">
        <v>107</v>
      </c>
      <c r="AB373" s="1">
        <v>97</v>
      </c>
      <c r="AC373" s="3">
        <f t="shared" si="11"/>
        <v>0.90654205607476634</v>
      </c>
      <c r="AD373" t="s">
        <v>171</v>
      </c>
      <c r="AE373">
        <v>80</v>
      </c>
      <c r="AF373">
        <v>16</v>
      </c>
      <c r="AG373">
        <v>36.5</v>
      </c>
      <c r="AH373">
        <v>12.8</v>
      </c>
    </row>
    <row r="374" spans="1:34" x14ac:dyDescent="0.25">
      <c r="A374" s="1">
        <v>372</v>
      </c>
      <c r="B374" s="1">
        <v>65</v>
      </c>
      <c r="C374" s="1" t="s">
        <v>32</v>
      </c>
      <c r="D374" s="1" t="s">
        <v>21</v>
      </c>
      <c r="E374" s="1" t="s">
        <v>22</v>
      </c>
      <c r="F374" s="1" t="s">
        <v>38</v>
      </c>
      <c r="G374" s="1">
        <v>2012</v>
      </c>
      <c r="H374" s="1">
        <v>2</v>
      </c>
      <c r="I374" s="1">
        <v>4</v>
      </c>
      <c r="J374" s="1" t="s">
        <v>14</v>
      </c>
      <c r="K374" s="1" t="s">
        <v>15</v>
      </c>
      <c r="L374" s="1" t="s">
        <v>16</v>
      </c>
      <c r="M374" s="1" t="s">
        <v>29</v>
      </c>
      <c r="N374" s="1" t="s">
        <v>33</v>
      </c>
      <c r="O374" s="1" t="s">
        <v>29</v>
      </c>
      <c r="P374" s="1" t="s">
        <v>29</v>
      </c>
      <c r="Q374" s="1" t="s">
        <v>19</v>
      </c>
      <c r="R374" s="1" t="s">
        <v>29</v>
      </c>
      <c r="S374" s="1" t="s">
        <v>29</v>
      </c>
      <c r="T374" s="1" t="s">
        <v>14</v>
      </c>
      <c r="U374" s="1" t="s">
        <v>41</v>
      </c>
      <c r="V374" s="1" t="s">
        <v>19</v>
      </c>
      <c r="W374" s="1" t="s">
        <v>29</v>
      </c>
      <c r="X374" s="1">
        <v>1.58</v>
      </c>
      <c r="Y374" s="1">
        <v>83.5</v>
      </c>
      <c r="Z374" s="3">
        <f t="shared" si="10"/>
        <v>33.448165358115681</v>
      </c>
      <c r="AA374" s="1">
        <v>118</v>
      </c>
      <c r="AB374" s="1">
        <v>128</v>
      </c>
      <c r="AC374" s="3">
        <f t="shared" si="11"/>
        <v>1.0847457627118644</v>
      </c>
      <c r="AD374" t="s">
        <v>361</v>
      </c>
      <c r="AE374">
        <v>76</v>
      </c>
      <c r="AF374">
        <v>18</v>
      </c>
      <c r="AG374">
        <v>37</v>
      </c>
      <c r="AH374">
        <v>9</v>
      </c>
    </row>
    <row r="375" spans="1:34" x14ac:dyDescent="0.25">
      <c r="A375" s="1">
        <v>373</v>
      </c>
      <c r="B375" s="1">
        <v>92</v>
      </c>
      <c r="C375" s="1" t="s">
        <v>11</v>
      </c>
      <c r="D375" s="1" t="s">
        <v>21</v>
      </c>
      <c r="E375" s="1" t="s">
        <v>22</v>
      </c>
      <c r="F375" s="1" t="s">
        <v>23</v>
      </c>
      <c r="G375" s="1">
        <v>2011</v>
      </c>
      <c r="H375" s="1">
        <v>3</v>
      </c>
      <c r="I375" s="1">
        <v>4</v>
      </c>
      <c r="J375" s="1" t="s">
        <v>14</v>
      </c>
      <c r="K375" s="1" t="s">
        <v>15</v>
      </c>
      <c r="L375" s="1" t="s">
        <v>16</v>
      </c>
      <c r="M375" s="1" t="s">
        <v>17</v>
      </c>
      <c r="N375" s="1" t="s">
        <v>25</v>
      </c>
      <c r="O375" s="1" t="s">
        <v>26</v>
      </c>
      <c r="P375" s="1" t="s">
        <v>40</v>
      </c>
      <c r="Q375" s="1" t="s">
        <v>14</v>
      </c>
      <c r="R375" s="1" t="s">
        <v>58</v>
      </c>
      <c r="S375" s="1" t="s">
        <v>58</v>
      </c>
      <c r="T375" s="1" t="s">
        <v>19</v>
      </c>
      <c r="U375" s="1" t="s">
        <v>29</v>
      </c>
      <c r="V375" s="1" t="s">
        <v>19</v>
      </c>
      <c r="W375" s="1" t="s">
        <v>29</v>
      </c>
      <c r="X375" s="1">
        <v>1.52</v>
      </c>
      <c r="Y375" s="1">
        <v>51</v>
      </c>
      <c r="Z375" s="3">
        <f t="shared" si="10"/>
        <v>22.07409972299169</v>
      </c>
      <c r="AA375" s="1">
        <v>96</v>
      </c>
      <c r="AB375" s="1">
        <v>94</v>
      </c>
      <c r="AC375" s="3">
        <f t="shared" si="11"/>
        <v>0.97916666666666663</v>
      </c>
      <c r="AD375" t="s">
        <v>362</v>
      </c>
      <c r="AE375">
        <v>66</v>
      </c>
      <c r="AF375">
        <v>14</v>
      </c>
      <c r="AG375">
        <v>36.799999999999997</v>
      </c>
      <c r="AH375" s="45"/>
    </row>
    <row r="376" spans="1:34" x14ac:dyDescent="0.25">
      <c r="A376" s="1">
        <v>374</v>
      </c>
      <c r="B376" s="1">
        <v>67</v>
      </c>
      <c r="C376" s="1" t="s">
        <v>32</v>
      </c>
      <c r="D376" s="1" t="s">
        <v>21</v>
      </c>
      <c r="E376" s="1" t="s">
        <v>22</v>
      </c>
      <c r="F376" s="1" t="s">
        <v>38</v>
      </c>
      <c r="G376" s="1">
        <v>2006</v>
      </c>
      <c r="H376" s="1">
        <v>8</v>
      </c>
      <c r="I376" s="1">
        <v>4</v>
      </c>
      <c r="J376" s="1" t="s">
        <v>14</v>
      </c>
      <c r="K376" s="1" t="s">
        <v>15</v>
      </c>
      <c r="L376" s="1" t="s">
        <v>16</v>
      </c>
      <c r="M376" s="1" t="s">
        <v>12</v>
      </c>
      <c r="N376" s="1" t="s">
        <v>33</v>
      </c>
      <c r="O376" s="1" t="s">
        <v>29</v>
      </c>
      <c r="P376" s="1" t="s">
        <v>29</v>
      </c>
      <c r="Q376" s="1" t="s">
        <v>19</v>
      </c>
      <c r="R376" s="1" t="s">
        <v>29</v>
      </c>
      <c r="S376" s="1" t="s">
        <v>29</v>
      </c>
      <c r="T376" s="1" t="s">
        <v>19</v>
      </c>
      <c r="U376" s="1" t="s">
        <v>29</v>
      </c>
      <c r="V376" s="1" t="s">
        <v>19</v>
      </c>
      <c r="W376" s="1" t="s">
        <v>29</v>
      </c>
      <c r="X376" s="1">
        <v>1.55</v>
      </c>
      <c r="Y376" s="1">
        <v>57</v>
      </c>
      <c r="Z376" s="3">
        <f t="shared" si="10"/>
        <v>23.725286160249738</v>
      </c>
      <c r="AA376" s="1">
        <v>107</v>
      </c>
      <c r="AB376" s="1">
        <v>86</v>
      </c>
      <c r="AC376" s="3">
        <f t="shared" si="11"/>
        <v>0.80373831775700932</v>
      </c>
      <c r="AD376" t="s">
        <v>363</v>
      </c>
      <c r="AE376">
        <v>60</v>
      </c>
      <c r="AF376">
        <v>16</v>
      </c>
      <c r="AG376">
        <v>36.9</v>
      </c>
      <c r="AH376">
        <v>4.2</v>
      </c>
    </row>
    <row r="377" spans="1:34" x14ac:dyDescent="0.25">
      <c r="A377" s="1">
        <v>375</v>
      </c>
      <c r="B377" s="1">
        <v>80</v>
      </c>
      <c r="C377" s="1" t="s">
        <v>32</v>
      </c>
      <c r="D377" s="1" t="s">
        <v>42</v>
      </c>
      <c r="E377" s="1" t="s">
        <v>37</v>
      </c>
      <c r="F377" s="1" t="s">
        <v>43</v>
      </c>
      <c r="G377" s="1">
        <v>2013</v>
      </c>
      <c r="H377" s="1">
        <v>1</v>
      </c>
      <c r="I377" s="1">
        <v>4</v>
      </c>
      <c r="J377" s="1" t="s">
        <v>14</v>
      </c>
      <c r="K377" s="1" t="s">
        <v>15</v>
      </c>
      <c r="L377" s="1" t="s">
        <v>16</v>
      </c>
      <c r="M377" s="1" t="s">
        <v>17</v>
      </c>
      <c r="N377" s="1" t="s">
        <v>33</v>
      </c>
      <c r="O377" s="1" t="s">
        <v>29</v>
      </c>
      <c r="P377" s="1" t="s">
        <v>29</v>
      </c>
      <c r="Q377" s="1" t="s">
        <v>19</v>
      </c>
      <c r="R377" s="1" t="s">
        <v>29</v>
      </c>
      <c r="S377" s="1" t="s">
        <v>29</v>
      </c>
      <c r="T377" s="1" t="s">
        <v>14</v>
      </c>
      <c r="U377" s="1" t="s">
        <v>53</v>
      </c>
      <c r="V377" s="1" t="s">
        <v>19</v>
      </c>
      <c r="W377" s="1" t="s">
        <v>29</v>
      </c>
      <c r="X377" s="1">
        <v>1.58</v>
      </c>
      <c r="Y377" s="1">
        <v>78</v>
      </c>
      <c r="Z377" s="3">
        <f t="shared" si="10"/>
        <v>31.244992789617044</v>
      </c>
      <c r="AA377" s="1">
        <v>113</v>
      </c>
      <c r="AB377" s="1">
        <v>108</v>
      </c>
      <c r="AC377" s="3">
        <f t="shared" si="11"/>
        <v>0.95575221238938057</v>
      </c>
      <c r="AD377" t="s">
        <v>188</v>
      </c>
      <c r="AE377">
        <v>76</v>
      </c>
      <c r="AF377">
        <v>14</v>
      </c>
      <c r="AG377">
        <v>36.6</v>
      </c>
      <c r="AH377">
        <v>4.3</v>
      </c>
    </row>
    <row r="378" spans="1:34" x14ac:dyDescent="0.25">
      <c r="A378" s="1">
        <v>376</v>
      </c>
      <c r="B378" s="1">
        <v>65</v>
      </c>
      <c r="C378" s="1" t="s">
        <v>32</v>
      </c>
      <c r="D378" s="1" t="s">
        <v>35</v>
      </c>
      <c r="E378" s="1" t="s">
        <v>22</v>
      </c>
      <c r="F378" s="1" t="s">
        <v>43</v>
      </c>
      <c r="G378" s="1">
        <v>2004</v>
      </c>
      <c r="H378" s="1">
        <v>10</v>
      </c>
      <c r="I378" s="1">
        <v>4</v>
      </c>
      <c r="J378" s="1" t="s">
        <v>14</v>
      </c>
      <c r="K378" s="1" t="s">
        <v>15</v>
      </c>
      <c r="L378" s="1" t="s">
        <v>18</v>
      </c>
      <c r="M378" s="1" t="s">
        <v>17</v>
      </c>
      <c r="N378" s="1" t="s">
        <v>33</v>
      </c>
      <c r="O378" s="1" t="s">
        <v>29</v>
      </c>
      <c r="P378" s="1" t="s">
        <v>29</v>
      </c>
      <c r="Q378" s="1" t="s">
        <v>19</v>
      </c>
      <c r="R378" s="1" t="s">
        <v>29</v>
      </c>
      <c r="S378" s="1" t="s">
        <v>29</v>
      </c>
      <c r="T378" s="1" t="s">
        <v>14</v>
      </c>
      <c r="U378" s="1" t="s">
        <v>46</v>
      </c>
      <c r="V378" s="1" t="s">
        <v>19</v>
      </c>
      <c r="W378" s="1" t="s">
        <v>29</v>
      </c>
      <c r="X378" s="1">
        <v>1.57</v>
      </c>
      <c r="Y378" s="1">
        <v>52</v>
      </c>
      <c r="Z378" s="3">
        <f t="shared" si="10"/>
        <v>21.096190514828187</v>
      </c>
      <c r="AA378" s="1">
        <v>90</v>
      </c>
      <c r="AB378" s="1">
        <v>83</v>
      </c>
      <c r="AC378" s="3">
        <f t="shared" si="11"/>
        <v>0.92222222222222228</v>
      </c>
      <c r="AD378" t="s">
        <v>364</v>
      </c>
      <c r="AE378">
        <v>80</v>
      </c>
      <c r="AF378">
        <v>14</v>
      </c>
      <c r="AG378">
        <v>36.799999999999997</v>
      </c>
      <c r="AH378">
        <v>9.9</v>
      </c>
    </row>
    <row r="379" spans="1:34" x14ac:dyDescent="0.25">
      <c r="A379" s="1">
        <v>377</v>
      </c>
      <c r="B379" s="1">
        <v>39</v>
      </c>
      <c r="C379" s="1" t="s">
        <v>11</v>
      </c>
      <c r="D379" s="1" t="s">
        <v>35</v>
      </c>
      <c r="E379" s="1" t="s">
        <v>36</v>
      </c>
      <c r="F379" s="1" t="s">
        <v>38</v>
      </c>
      <c r="G379" s="1">
        <v>2006</v>
      </c>
      <c r="H379" s="1">
        <v>8</v>
      </c>
      <c r="I379" s="1">
        <v>4</v>
      </c>
      <c r="J379" s="1" t="s">
        <v>19</v>
      </c>
      <c r="K379" s="1" t="s">
        <v>29</v>
      </c>
      <c r="L379" s="1" t="s">
        <v>18</v>
      </c>
      <c r="M379" s="1" t="s">
        <v>29</v>
      </c>
      <c r="N379" s="1" t="s">
        <v>25</v>
      </c>
      <c r="O379" s="1" t="s">
        <v>57</v>
      </c>
      <c r="P379" s="1" t="s">
        <v>28</v>
      </c>
      <c r="Q379" s="1" t="s">
        <v>14</v>
      </c>
      <c r="R379" s="1" t="s">
        <v>58</v>
      </c>
      <c r="S379" s="1" t="s">
        <v>58</v>
      </c>
      <c r="T379" s="1" t="s">
        <v>14</v>
      </c>
      <c r="U379" s="1" t="s">
        <v>41</v>
      </c>
      <c r="V379" s="1" t="s">
        <v>19</v>
      </c>
      <c r="W379" s="1" t="s">
        <v>29</v>
      </c>
      <c r="X379" s="1">
        <v>1.82</v>
      </c>
      <c r="Y379" s="1">
        <v>71</v>
      </c>
      <c r="Z379" s="3">
        <f t="shared" si="10"/>
        <v>21.434609346697258</v>
      </c>
      <c r="AA379" s="1">
        <v>94</v>
      </c>
      <c r="AB379" s="1">
        <v>79</v>
      </c>
      <c r="AC379" s="3">
        <f t="shared" si="11"/>
        <v>0.84042553191489366</v>
      </c>
      <c r="AD379" t="s">
        <v>365</v>
      </c>
      <c r="AE379">
        <v>106</v>
      </c>
      <c r="AF379">
        <v>16</v>
      </c>
      <c r="AG379">
        <v>36.799999999999997</v>
      </c>
      <c r="AH379">
        <v>17.600000000000001</v>
      </c>
    </row>
    <row r="380" spans="1:34" x14ac:dyDescent="0.25">
      <c r="A380" s="1">
        <v>378</v>
      </c>
      <c r="B380" s="1">
        <v>32</v>
      </c>
      <c r="C380" s="1" t="s">
        <v>11</v>
      </c>
      <c r="D380" s="1" t="s">
        <v>21</v>
      </c>
      <c r="E380" s="1" t="s">
        <v>22</v>
      </c>
      <c r="F380" s="1" t="s">
        <v>38</v>
      </c>
      <c r="G380" s="1">
        <v>2013</v>
      </c>
      <c r="H380" s="1">
        <v>2</v>
      </c>
      <c r="I380" s="63">
        <v>3</v>
      </c>
      <c r="J380" s="1" t="s">
        <v>19</v>
      </c>
      <c r="K380" s="1" t="s">
        <v>29</v>
      </c>
      <c r="L380" s="1" t="s">
        <v>18</v>
      </c>
      <c r="M380" s="1" t="s">
        <v>29</v>
      </c>
      <c r="N380" s="1" t="s">
        <v>33</v>
      </c>
      <c r="O380" s="1" t="s">
        <v>29</v>
      </c>
      <c r="P380" s="1" t="s">
        <v>29</v>
      </c>
      <c r="Q380" s="1" t="s">
        <v>14</v>
      </c>
      <c r="R380" s="1" t="s">
        <v>58</v>
      </c>
      <c r="S380" s="1" t="s">
        <v>58</v>
      </c>
      <c r="T380" s="1" t="s">
        <v>14</v>
      </c>
      <c r="U380" s="1" t="s">
        <v>41</v>
      </c>
      <c r="V380" s="1" t="s">
        <v>14</v>
      </c>
      <c r="W380" s="1" t="s">
        <v>59</v>
      </c>
      <c r="X380" s="1">
        <v>1.64</v>
      </c>
      <c r="Y380" s="1">
        <v>84</v>
      </c>
      <c r="Z380" s="3">
        <f t="shared" si="10"/>
        <v>31.231409875074366</v>
      </c>
      <c r="AA380" s="1">
        <v>106</v>
      </c>
      <c r="AB380" s="1">
        <v>107</v>
      </c>
      <c r="AC380" s="3">
        <f t="shared" si="11"/>
        <v>1.0094339622641511</v>
      </c>
      <c r="AD380" t="s">
        <v>366</v>
      </c>
      <c r="AE380">
        <v>80</v>
      </c>
      <c r="AF380">
        <v>16</v>
      </c>
      <c r="AG380">
        <v>36.4</v>
      </c>
      <c r="AH380">
        <v>3.4</v>
      </c>
    </row>
    <row r="381" spans="1:34" x14ac:dyDescent="0.25">
      <c r="A381" s="1">
        <v>379</v>
      </c>
      <c r="B381" s="1">
        <v>52</v>
      </c>
      <c r="C381" s="1" t="s">
        <v>11</v>
      </c>
      <c r="D381" s="1" t="s">
        <v>21</v>
      </c>
      <c r="E381" s="1" t="s">
        <v>36</v>
      </c>
      <c r="F381" s="1" t="s">
        <v>50</v>
      </c>
      <c r="G381" s="1">
        <v>2009</v>
      </c>
      <c r="H381" s="1">
        <v>5</v>
      </c>
      <c r="I381" s="1">
        <v>3</v>
      </c>
      <c r="J381" s="1" t="s">
        <v>14</v>
      </c>
      <c r="K381" s="1" t="s">
        <v>15</v>
      </c>
      <c r="L381" s="1" t="s">
        <v>16</v>
      </c>
      <c r="M381" s="1" t="s">
        <v>12</v>
      </c>
      <c r="N381" s="1" t="s">
        <v>78</v>
      </c>
      <c r="O381" s="1" t="s">
        <v>26</v>
      </c>
      <c r="P381" s="1" t="s">
        <v>40</v>
      </c>
      <c r="Q381" s="1" t="s">
        <v>14</v>
      </c>
      <c r="R381" s="1" t="s">
        <v>27</v>
      </c>
      <c r="S381" s="4" t="s">
        <v>61</v>
      </c>
      <c r="T381" s="1" t="s">
        <v>14</v>
      </c>
      <c r="U381" s="1" t="s">
        <v>53</v>
      </c>
      <c r="V381" s="1" t="s">
        <v>14</v>
      </c>
      <c r="W381" s="1" t="s">
        <v>53</v>
      </c>
      <c r="X381" s="1">
        <v>1.7</v>
      </c>
      <c r="Y381" s="1">
        <v>82</v>
      </c>
      <c r="Z381" s="3">
        <f t="shared" si="10"/>
        <v>28.373702422145332</v>
      </c>
      <c r="AA381" s="1">
        <v>102</v>
      </c>
      <c r="AB381" s="1">
        <v>105</v>
      </c>
      <c r="AC381" s="3">
        <f t="shared" si="11"/>
        <v>1.0294117647058822</v>
      </c>
      <c r="AD381" t="s">
        <v>367</v>
      </c>
      <c r="AE381">
        <v>68</v>
      </c>
      <c r="AF381">
        <v>18</v>
      </c>
      <c r="AG381">
        <v>36.9</v>
      </c>
      <c r="AH381">
        <v>9.8000000000000007</v>
      </c>
    </row>
    <row r="382" spans="1:34" x14ac:dyDescent="0.25">
      <c r="A382" s="1">
        <v>380</v>
      </c>
      <c r="B382" s="1">
        <v>76</v>
      </c>
      <c r="C382" s="1" t="s">
        <v>11</v>
      </c>
      <c r="D382" s="1" t="s">
        <v>21</v>
      </c>
      <c r="E382" s="1" t="s">
        <v>22</v>
      </c>
      <c r="F382" s="1" t="s">
        <v>23</v>
      </c>
      <c r="G382" s="1">
        <v>1998</v>
      </c>
      <c r="H382" s="1">
        <v>16</v>
      </c>
      <c r="I382" s="1">
        <v>3</v>
      </c>
      <c r="J382" s="1" t="s">
        <v>14</v>
      </c>
      <c r="K382" s="41" t="s">
        <v>360</v>
      </c>
      <c r="L382" s="1" t="s">
        <v>16</v>
      </c>
      <c r="M382" s="1" t="s">
        <v>17</v>
      </c>
      <c r="N382" s="1" t="s">
        <v>25</v>
      </c>
      <c r="O382" s="1" t="s">
        <v>26</v>
      </c>
      <c r="P382" s="1" t="s">
        <v>40</v>
      </c>
      <c r="Q382" s="1" t="s">
        <v>14</v>
      </c>
      <c r="R382" s="1" t="s">
        <v>27</v>
      </c>
      <c r="S382" s="4" t="s">
        <v>61</v>
      </c>
      <c r="T382" s="1" t="s">
        <v>19</v>
      </c>
      <c r="U382" s="1" t="s">
        <v>29</v>
      </c>
      <c r="V382" s="1" t="s">
        <v>19</v>
      </c>
      <c r="W382" s="1" t="s">
        <v>29</v>
      </c>
      <c r="X382" s="1">
        <v>1.72</v>
      </c>
      <c r="Y382" s="1">
        <v>74</v>
      </c>
      <c r="Z382" s="3">
        <f t="shared" si="10"/>
        <v>25.013520822065985</v>
      </c>
      <c r="AA382" s="1">
        <v>102</v>
      </c>
      <c r="AB382" s="1">
        <v>89</v>
      </c>
      <c r="AC382" s="3">
        <f t="shared" si="11"/>
        <v>0.87254901960784315</v>
      </c>
      <c r="AD382" t="s">
        <v>368</v>
      </c>
      <c r="AE382">
        <v>80</v>
      </c>
      <c r="AF382">
        <v>16</v>
      </c>
      <c r="AG382">
        <v>37.200000000000003</v>
      </c>
      <c r="AH382" s="45"/>
    </row>
    <row r="383" spans="1:34" x14ac:dyDescent="0.25">
      <c r="A383" s="1">
        <v>381</v>
      </c>
      <c r="B383" s="1">
        <v>65</v>
      </c>
      <c r="C383" s="1" t="s">
        <v>32</v>
      </c>
      <c r="D383" s="1" t="s">
        <v>21</v>
      </c>
      <c r="E383" s="1" t="s">
        <v>22</v>
      </c>
      <c r="F383" s="1" t="s">
        <v>38</v>
      </c>
      <c r="G383" s="1">
        <v>2011</v>
      </c>
      <c r="H383" s="1">
        <v>3</v>
      </c>
      <c r="I383" s="1">
        <v>4</v>
      </c>
      <c r="J383" s="1" t="s">
        <v>14</v>
      </c>
      <c r="K383" s="1" t="s">
        <v>15</v>
      </c>
      <c r="L383" s="1" t="s">
        <v>16</v>
      </c>
      <c r="M383" s="1" t="s">
        <v>12</v>
      </c>
      <c r="N383" s="1" t="s">
        <v>33</v>
      </c>
      <c r="O383" s="1" t="s">
        <v>29</v>
      </c>
      <c r="P383" s="1" t="s">
        <v>29</v>
      </c>
      <c r="Q383" s="1" t="s">
        <v>19</v>
      </c>
      <c r="R383" s="1" t="s">
        <v>29</v>
      </c>
      <c r="S383" s="1" t="s">
        <v>29</v>
      </c>
      <c r="T383" s="1" t="s">
        <v>19</v>
      </c>
      <c r="U383" s="1" t="s">
        <v>29</v>
      </c>
      <c r="V383" s="1" t="s">
        <v>19</v>
      </c>
      <c r="W383" s="1" t="s">
        <v>29</v>
      </c>
      <c r="X383" s="1">
        <v>1.58</v>
      </c>
      <c r="Y383" s="1">
        <v>65</v>
      </c>
      <c r="Z383" s="3">
        <f t="shared" si="10"/>
        <v>26.037493991347535</v>
      </c>
      <c r="AA383" s="1">
        <v>108</v>
      </c>
      <c r="AB383" s="1">
        <v>96</v>
      </c>
      <c r="AC383" s="3">
        <f t="shared" si="11"/>
        <v>0.88888888888888884</v>
      </c>
      <c r="AD383" t="s">
        <v>171</v>
      </c>
      <c r="AE383">
        <v>72</v>
      </c>
      <c r="AF383">
        <v>16</v>
      </c>
      <c r="AG383">
        <v>37</v>
      </c>
      <c r="AH383">
        <v>8.3000000000000007</v>
      </c>
    </row>
    <row r="384" spans="1:34" x14ac:dyDescent="0.25">
      <c r="A384" s="1">
        <v>382</v>
      </c>
      <c r="B384" s="1">
        <v>54</v>
      </c>
      <c r="C384" s="1" t="s">
        <v>32</v>
      </c>
      <c r="D384" s="1" t="s">
        <v>21</v>
      </c>
      <c r="E384" s="1" t="s">
        <v>36</v>
      </c>
      <c r="F384" s="1" t="s">
        <v>50</v>
      </c>
      <c r="G384" s="1">
        <v>2002</v>
      </c>
      <c r="H384" s="1">
        <v>12</v>
      </c>
      <c r="I384" s="1">
        <v>4</v>
      </c>
      <c r="J384" s="1" t="s">
        <v>14</v>
      </c>
      <c r="K384" s="1" t="s">
        <v>15</v>
      </c>
      <c r="L384" s="1" t="s">
        <v>129</v>
      </c>
      <c r="M384" s="1" t="s">
        <v>29</v>
      </c>
      <c r="N384" s="1" t="s">
        <v>33</v>
      </c>
      <c r="O384" s="1" t="s">
        <v>29</v>
      </c>
      <c r="P384" s="1" t="s">
        <v>29</v>
      </c>
      <c r="Q384" s="1" t="s">
        <v>19</v>
      </c>
      <c r="R384" s="1" t="s">
        <v>29</v>
      </c>
      <c r="S384" s="1" t="s">
        <v>29</v>
      </c>
      <c r="T384" s="1" t="s">
        <v>14</v>
      </c>
      <c r="U384" s="1" t="s">
        <v>59</v>
      </c>
      <c r="V384" s="1" t="s">
        <v>14</v>
      </c>
      <c r="W384" s="1" t="s">
        <v>369</v>
      </c>
      <c r="X384" s="1">
        <v>1.61</v>
      </c>
      <c r="Y384" s="1">
        <v>73</v>
      </c>
      <c r="Z384" s="3">
        <f t="shared" si="10"/>
        <v>28.162493730951734</v>
      </c>
      <c r="AA384" s="1">
        <v>110</v>
      </c>
      <c r="AB384" s="1">
        <v>96</v>
      </c>
      <c r="AC384" s="3">
        <f t="shared" si="11"/>
        <v>0.87272727272727268</v>
      </c>
      <c r="AD384" t="s">
        <v>370</v>
      </c>
      <c r="AE384">
        <v>84</v>
      </c>
      <c r="AF384">
        <v>14</v>
      </c>
      <c r="AG384">
        <v>36.799999999999997</v>
      </c>
      <c r="AH384" s="45"/>
    </row>
    <row r="385" spans="1:34" x14ac:dyDescent="0.25">
      <c r="A385" s="1">
        <v>383</v>
      </c>
      <c r="B385" s="1">
        <v>52</v>
      </c>
      <c r="C385" s="1" t="s">
        <v>32</v>
      </c>
      <c r="D385" s="1" t="s">
        <v>21</v>
      </c>
      <c r="E385" s="1" t="s">
        <v>22</v>
      </c>
      <c r="F385" s="1" t="s">
        <v>43</v>
      </c>
      <c r="G385" s="1">
        <v>2011</v>
      </c>
      <c r="H385" s="1">
        <v>3</v>
      </c>
      <c r="I385" s="1">
        <v>3</v>
      </c>
      <c r="J385" s="1" t="s">
        <v>14</v>
      </c>
      <c r="K385" s="1" t="s">
        <v>15</v>
      </c>
      <c r="L385" s="1" t="s">
        <v>16</v>
      </c>
      <c r="M385" s="1" t="s">
        <v>29</v>
      </c>
      <c r="N385" s="1" t="s">
        <v>33</v>
      </c>
      <c r="O385" s="1" t="s">
        <v>29</v>
      </c>
      <c r="P385" s="1" t="s">
        <v>29</v>
      </c>
      <c r="Q385" s="1" t="s">
        <v>19</v>
      </c>
      <c r="R385" s="1" t="s">
        <v>29</v>
      </c>
      <c r="S385" s="1" t="s">
        <v>29</v>
      </c>
      <c r="T385" s="1" t="s">
        <v>19</v>
      </c>
      <c r="U385" s="1" t="s">
        <v>29</v>
      </c>
      <c r="V385" s="1" t="s">
        <v>19</v>
      </c>
      <c r="W385" s="1" t="s">
        <v>29</v>
      </c>
      <c r="X385" s="1">
        <v>1.61</v>
      </c>
      <c r="Y385" s="1">
        <v>96</v>
      </c>
      <c r="Z385" s="3">
        <f t="shared" si="10"/>
        <v>37.035608194128308</v>
      </c>
      <c r="AA385" s="1">
        <v>104</v>
      </c>
      <c r="AB385" s="1">
        <v>107</v>
      </c>
      <c r="AC385" s="3">
        <f t="shared" si="11"/>
        <v>1.0288461538461537</v>
      </c>
      <c r="AD385" t="s">
        <v>371</v>
      </c>
      <c r="AE385">
        <v>68</v>
      </c>
      <c r="AF385">
        <v>16</v>
      </c>
      <c r="AG385">
        <v>37</v>
      </c>
      <c r="AH385">
        <v>7.2</v>
      </c>
    </row>
    <row r="386" spans="1:34" x14ac:dyDescent="0.25">
      <c r="A386" s="1">
        <v>384</v>
      </c>
      <c r="B386" s="1">
        <v>72</v>
      </c>
      <c r="C386" s="1" t="s">
        <v>32</v>
      </c>
      <c r="D386" s="1" t="s">
        <v>21</v>
      </c>
      <c r="E386" s="1" t="s">
        <v>22</v>
      </c>
      <c r="F386" s="1" t="s">
        <v>43</v>
      </c>
      <c r="G386" s="1">
        <v>2002</v>
      </c>
      <c r="H386" s="1">
        <v>12</v>
      </c>
      <c r="I386" s="1">
        <v>3</v>
      </c>
      <c r="J386" s="1" t="s">
        <v>14</v>
      </c>
      <c r="K386" s="1" t="s">
        <v>15</v>
      </c>
      <c r="L386" s="1" t="s">
        <v>18</v>
      </c>
      <c r="M386" s="1" t="s">
        <v>29</v>
      </c>
      <c r="N386" s="1" t="s">
        <v>33</v>
      </c>
      <c r="O386" s="1" t="s">
        <v>29</v>
      </c>
      <c r="P386" s="1" t="s">
        <v>29</v>
      </c>
      <c r="Q386" s="1" t="s">
        <v>19</v>
      </c>
      <c r="R386" s="1" t="s">
        <v>29</v>
      </c>
      <c r="S386" s="1" t="s">
        <v>29</v>
      </c>
      <c r="T386" s="1" t="s">
        <v>19</v>
      </c>
      <c r="U386" s="1" t="s">
        <v>29</v>
      </c>
      <c r="V386" s="1" t="s">
        <v>19</v>
      </c>
      <c r="W386" s="1" t="s">
        <v>29</v>
      </c>
      <c r="X386" s="1">
        <v>1.5</v>
      </c>
      <c r="Y386" s="1">
        <v>57</v>
      </c>
      <c r="Z386" s="3">
        <f t="shared" si="10"/>
        <v>25.333333333333332</v>
      </c>
      <c r="AA386" s="1">
        <v>86</v>
      </c>
      <c r="AB386" s="1">
        <v>99</v>
      </c>
      <c r="AC386" s="3">
        <f t="shared" si="11"/>
        <v>1.1511627906976745</v>
      </c>
      <c r="AD386" t="s">
        <v>372</v>
      </c>
      <c r="AE386">
        <v>126</v>
      </c>
      <c r="AF386">
        <v>16</v>
      </c>
      <c r="AG386">
        <v>37.200000000000003</v>
      </c>
      <c r="AH386" s="46">
        <v>3.4</v>
      </c>
    </row>
    <row r="387" spans="1:34" x14ac:dyDescent="0.25">
      <c r="A387" s="1">
        <v>385</v>
      </c>
      <c r="B387" s="1">
        <v>60</v>
      </c>
      <c r="C387" s="1" t="s">
        <v>32</v>
      </c>
      <c r="D387" s="1" t="s">
        <v>21</v>
      </c>
      <c r="E387" s="1" t="s">
        <v>22</v>
      </c>
      <c r="F387" s="1" t="s">
        <v>43</v>
      </c>
      <c r="G387" s="1">
        <v>2001</v>
      </c>
      <c r="H387" s="1">
        <v>13</v>
      </c>
      <c r="I387" s="1">
        <v>4</v>
      </c>
      <c r="J387" s="1" t="s">
        <v>14</v>
      </c>
      <c r="K387" s="1" t="s">
        <v>15</v>
      </c>
      <c r="L387" s="1" t="s">
        <v>16</v>
      </c>
      <c r="M387" s="1" t="s">
        <v>16</v>
      </c>
      <c r="N387" s="1" t="s">
        <v>33</v>
      </c>
      <c r="O387" s="1" t="s">
        <v>29</v>
      </c>
      <c r="P387" s="1" t="s">
        <v>29</v>
      </c>
      <c r="Q387" s="1" t="s">
        <v>19</v>
      </c>
      <c r="R387" s="1" t="s">
        <v>29</v>
      </c>
      <c r="S387" s="1" t="s">
        <v>29</v>
      </c>
      <c r="T387" s="1" t="s">
        <v>14</v>
      </c>
      <c r="U387" s="1" t="s">
        <v>53</v>
      </c>
      <c r="V387" s="1" t="s">
        <v>19</v>
      </c>
      <c r="W387" s="1" t="s">
        <v>29</v>
      </c>
      <c r="X387" s="1">
        <v>1.58</v>
      </c>
      <c r="Y387" s="1">
        <v>62.5</v>
      </c>
      <c r="Z387" s="3">
        <f t="shared" si="10"/>
        <v>25.036051914757248</v>
      </c>
      <c r="AA387" s="1">
        <v>96</v>
      </c>
      <c r="AB387" s="1">
        <v>98</v>
      </c>
      <c r="AC387" s="3">
        <f t="shared" si="11"/>
        <v>1.0208333333333333</v>
      </c>
      <c r="AD387" t="s">
        <v>373</v>
      </c>
      <c r="AE387">
        <v>60</v>
      </c>
      <c r="AF387">
        <v>14</v>
      </c>
      <c r="AG387">
        <v>37</v>
      </c>
      <c r="AH387" s="46">
        <v>18.100000000000001</v>
      </c>
    </row>
    <row r="388" spans="1:34" x14ac:dyDescent="0.25">
      <c r="A388" s="1">
        <v>386</v>
      </c>
      <c r="B388" s="1">
        <v>54</v>
      </c>
      <c r="C388" s="1" t="s">
        <v>32</v>
      </c>
      <c r="D388" s="1" t="s">
        <v>21</v>
      </c>
      <c r="E388" s="1" t="s">
        <v>22</v>
      </c>
      <c r="F388" s="1" t="s">
        <v>38</v>
      </c>
      <c r="G388" s="1">
        <v>2010</v>
      </c>
      <c r="H388" s="1">
        <v>4</v>
      </c>
      <c r="I388" s="1">
        <v>4</v>
      </c>
      <c r="J388" s="1" t="s">
        <v>14</v>
      </c>
      <c r="K388" s="1" t="s">
        <v>15</v>
      </c>
      <c r="L388" s="1" t="s">
        <v>18</v>
      </c>
      <c r="M388" s="1" t="s">
        <v>29</v>
      </c>
      <c r="N388" s="1" t="s">
        <v>33</v>
      </c>
      <c r="O388" s="1" t="s">
        <v>29</v>
      </c>
      <c r="P388" s="1" t="s">
        <v>29</v>
      </c>
      <c r="Q388" s="1" t="s">
        <v>19</v>
      </c>
      <c r="R388" s="1" t="s">
        <v>29</v>
      </c>
      <c r="S388" s="1" t="s">
        <v>29</v>
      </c>
      <c r="T388" s="1" t="s">
        <v>14</v>
      </c>
      <c r="U388" s="1" t="s">
        <v>76</v>
      </c>
      <c r="V388" s="1" t="s">
        <v>19</v>
      </c>
      <c r="W388" s="1" t="s">
        <v>29</v>
      </c>
      <c r="X388" s="1">
        <v>1.58</v>
      </c>
      <c r="Y388" s="1">
        <v>70</v>
      </c>
      <c r="Z388" s="3">
        <f t="shared" ref="Z388:Z397" si="12">(Y388/(X388)^2)</f>
        <v>28.040378144528116</v>
      </c>
      <c r="AA388" s="1">
        <v>112</v>
      </c>
      <c r="AB388" s="1">
        <v>102</v>
      </c>
      <c r="AC388" s="3">
        <f t="shared" si="11"/>
        <v>0.9107142857142857</v>
      </c>
      <c r="AD388" t="s">
        <v>194</v>
      </c>
      <c r="AE388">
        <v>56</v>
      </c>
      <c r="AF388">
        <v>18</v>
      </c>
      <c r="AG388">
        <v>36.799999999999997</v>
      </c>
      <c r="AH388" s="46">
        <v>4.2</v>
      </c>
    </row>
    <row r="389" spans="1:34" x14ac:dyDescent="0.25">
      <c r="A389" s="1">
        <v>387</v>
      </c>
      <c r="B389" s="1">
        <v>56</v>
      </c>
      <c r="C389" s="1" t="s">
        <v>11</v>
      </c>
      <c r="D389" s="1" t="s">
        <v>21</v>
      </c>
      <c r="E389" s="1" t="s">
        <v>36</v>
      </c>
      <c r="F389" s="1" t="s">
        <v>38</v>
      </c>
      <c r="G389" s="1">
        <v>2011</v>
      </c>
      <c r="H389" s="1">
        <v>3</v>
      </c>
      <c r="I389" s="1">
        <v>3</v>
      </c>
      <c r="J389" s="1" t="s">
        <v>14</v>
      </c>
      <c r="K389" s="1" t="s">
        <v>15</v>
      </c>
      <c r="L389" s="1" t="s">
        <v>16</v>
      </c>
      <c r="M389" s="1" t="s">
        <v>17</v>
      </c>
      <c r="N389" s="1" t="s">
        <v>33</v>
      </c>
      <c r="O389" s="1" t="s">
        <v>29</v>
      </c>
      <c r="P389" s="1" t="s">
        <v>29</v>
      </c>
      <c r="Q389" s="1" t="s">
        <v>19</v>
      </c>
      <c r="R389" s="1" t="s">
        <v>29</v>
      </c>
      <c r="S389" s="1" t="s">
        <v>29</v>
      </c>
      <c r="T389" s="1" t="s">
        <v>14</v>
      </c>
      <c r="U389" s="1" t="s">
        <v>53</v>
      </c>
      <c r="V389" s="1" t="s">
        <v>14</v>
      </c>
      <c r="W389" s="1" t="s">
        <v>53</v>
      </c>
      <c r="X389" s="1">
        <v>1.6</v>
      </c>
      <c r="Y389" s="1">
        <v>85</v>
      </c>
      <c r="Z389" s="3">
        <f t="shared" si="12"/>
        <v>33.203124999999993</v>
      </c>
      <c r="AA389" s="1">
        <v>109</v>
      </c>
      <c r="AB389" s="1">
        <v>115</v>
      </c>
      <c r="AC389" s="3">
        <f t="shared" ref="AC389:AC397" si="13">AB389/AA389</f>
        <v>1.0550458715596329</v>
      </c>
      <c r="AD389" t="s">
        <v>169</v>
      </c>
      <c r="AE389">
        <v>80</v>
      </c>
      <c r="AF389">
        <v>16</v>
      </c>
      <c r="AG389">
        <v>37</v>
      </c>
      <c r="AH389" s="46">
        <v>17.8</v>
      </c>
    </row>
    <row r="390" spans="1:34" x14ac:dyDescent="0.25">
      <c r="A390" s="1">
        <v>388</v>
      </c>
      <c r="B390" s="1">
        <v>65</v>
      </c>
      <c r="C390" s="1" t="s">
        <v>32</v>
      </c>
      <c r="D390" s="1" t="s">
        <v>21</v>
      </c>
      <c r="E390" s="1" t="s">
        <v>22</v>
      </c>
      <c r="F390" s="1" t="s">
        <v>38</v>
      </c>
      <c r="G390" s="1">
        <v>2013</v>
      </c>
      <c r="H390" s="1">
        <v>1</v>
      </c>
      <c r="I390" s="1">
        <v>4</v>
      </c>
      <c r="J390" s="1" t="s">
        <v>14</v>
      </c>
      <c r="K390" s="1" t="s">
        <v>15</v>
      </c>
      <c r="L390" s="1" t="s">
        <v>16</v>
      </c>
      <c r="M390" s="1" t="s">
        <v>16</v>
      </c>
      <c r="N390" s="1" t="s">
        <v>33</v>
      </c>
      <c r="O390" s="1" t="s">
        <v>29</v>
      </c>
      <c r="P390" s="1" t="s">
        <v>29</v>
      </c>
      <c r="Q390" s="1" t="s">
        <v>19</v>
      </c>
      <c r="R390" s="1" t="s">
        <v>29</v>
      </c>
      <c r="S390" s="1" t="s">
        <v>29</v>
      </c>
      <c r="T390" s="1" t="s">
        <v>14</v>
      </c>
      <c r="U390" s="1" t="s">
        <v>76</v>
      </c>
      <c r="V390" s="1" t="s">
        <v>19</v>
      </c>
      <c r="W390" s="1" t="s">
        <v>29</v>
      </c>
      <c r="X390" s="1">
        <v>1.58</v>
      </c>
      <c r="Y390" s="1">
        <v>74</v>
      </c>
      <c r="Z390" s="3">
        <f t="shared" si="12"/>
        <v>29.642685467072578</v>
      </c>
      <c r="AA390" s="1">
        <v>113</v>
      </c>
      <c r="AB390" s="1">
        <v>95</v>
      </c>
      <c r="AC390" s="3">
        <f t="shared" si="13"/>
        <v>0.84070796460176989</v>
      </c>
      <c r="AD390" t="s">
        <v>165</v>
      </c>
      <c r="AE390">
        <v>86</v>
      </c>
      <c r="AF390">
        <v>16</v>
      </c>
      <c r="AG390">
        <v>36.4</v>
      </c>
      <c r="AH390" s="46">
        <v>6.8</v>
      </c>
    </row>
    <row r="391" spans="1:34" x14ac:dyDescent="0.25">
      <c r="A391" s="1">
        <v>389</v>
      </c>
      <c r="B391" s="1">
        <v>72</v>
      </c>
      <c r="C391" s="1" t="s">
        <v>32</v>
      </c>
      <c r="D391" s="1" t="s">
        <v>42</v>
      </c>
      <c r="E391" s="1" t="s">
        <v>22</v>
      </c>
      <c r="F391" s="1" t="s">
        <v>43</v>
      </c>
      <c r="G391" s="1">
        <v>2011</v>
      </c>
      <c r="H391" s="1">
        <v>3</v>
      </c>
      <c r="I391" s="1">
        <v>3</v>
      </c>
      <c r="J391" s="1" t="s">
        <v>19</v>
      </c>
      <c r="K391" s="1" t="s">
        <v>29</v>
      </c>
      <c r="L391" s="1" t="s">
        <v>16</v>
      </c>
      <c r="M391" s="1" t="s">
        <v>17</v>
      </c>
      <c r="N391" s="1" t="s">
        <v>33</v>
      </c>
      <c r="O391" s="1" t="s">
        <v>29</v>
      </c>
      <c r="P391" s="1" t="s">
        <v>29</v>
      </c>
      <c r="Q391" s="1" t="s">
        <v>19</v>
      </c>
      <c r="R391" s="1" t="s">
        <v>29</v>
      </c>
      <c r="S391" s="1" t="s">
        <v>29</v>
      </c>
      <c r="T391" s="1" t="s">
        <v>14</v>
      </c>
      <c r="U391" s="1" t="s">
        <v>46</v>
      </c>
      <c r="V391" s="1" t="s">
        <v>19</v>
      </c>
      <c r="W391" s="1" t="s">
        <v>29</v>
      </c>
      <c r="X391" s="1">
        <v>1.47</v>
      </c>
      <c r="Y391" s="1">
        <v>49</v>
      </c>
      <c r="Z391" s="3">
        <f t="shared" si="12"/>
        <v>22.67573696145125</v>
      </c>
      <c r="AA391" s="1">
        <v>76</v>
      </c>
      <c r="AB391" s="1">
        <v>92</v>
      </c>
      <c r="AC391" s="3">
        <f t="shared" si="13"/>
        <v>1.2105263157894737</v>
      </c>
      <c r="AD391" t="s">
        <v>374</v>
      </c>
      <c r="AE391">
        <v>80</v>
      </c>
      <c r="AF391">
        <v>14</v>
      </c>
      <c r="AG391">
        <v>36.6</v>
      </c>
      <c r="AH391" s="46">
        <v>10.4</v>
      </c>
    </row>
    <row r="392" spans="1:34" x14ac:dyDescent="0.25">
      <c r="A392" s="1">
        <v>390</v>
      </c>
      <c r="B392" s="1">
        <v>60</v>
      </c>
      <c r="C392" s="1" t="s">
        <v>32</v>
      </c>
      <c r="D392" s="1" t="s">
        <v>21</v>
      </c>
      <c r="E392" s="1" t="s">
        <v>22</v>
      </c>
      <c r="F392" s="1" t="s">
        <v>38</v>
      </c>
      <c r="G392" s="1">
        <v>2007</v>
      </c>
      <c r="H392" s="1">
        <v>7</v>
      </c>
      <c r="I392" s="1">
        <v>3</v>
      </c>
      <c r="J392" s="1" t="s">
        <v>14</v>
      </c>
      <c r="K392" s="1" t="s">
        <v>15</v>
      </c>
      <c r="L392" s="1" t="s">
        <v>16</v>
      </c>
      <c r="M392" s="1" t="s">
        <v>29</v>
      </c>
      <c r="N392" s="1" t="s">
        <v>33</v>
      </c>
      <c r="O392" s="1" t="s">
        <v>29</v>
      </c>
      <c r="P392" s="1" t="s">
        <v>29</v>
      </c>
      <c r="Q392" s="1" t="s">
        <v>19</v>
      </c>
      <c r="R392" s="1" t="s">
        <v>29</v>
      </c>
      <c r="S392" s="1" t="s">
        <v>29</v>
      </c>
      <c r="T392" s="1" t="s">
        <v>14</v>
      </c>
      <c r="U392" s="1" t="s">
        <v>53</v>
      </c>
      <c r="V392" s="1" t="s">
        <v>19</v>
      </c>
      <c r="W392" s="1" t="s">
        <v>29</v>
      </c>
      <c r="X392" s="1">
        <v>1.52</v>
      </c>
      <c r="Y392" s="1">
        <v>73.5</v>
      </c>
      <c r="Z392" s="3">
        <f t="shared" si="12"/>
        <v>31.812673130193907</v>
      </c>
      <c r="AA392" s="1">
        <v>104</v>
      </c>
      <c r="AB392" s="1">
        <v>117</v>
      </c>
      <c r="AC392" s="3">
        <f t="shared" si="13"/>
        <v>1.125</v>
      </c>
      <c r="AD392" t="s">
        <v>178</v>
      </c>
      <c r="AE392">
        <v>60</v>
      </c>
      <c r="AF392">
        <v>16</v>
      </c>
      <c r="AG392">
        <v>37.200000000000003</v>
      </c>
      <c r="AH392" s="46">
        <v>6.3</v>
      </c>
    </row>
    <row r="393" spans="1:34" x14ac:dyDescent="0.25">
      <c r="A393" s="1">
        <v>391</v>
      </c>
      <c r="B393" s="1">
        <v>65</v>
      </c>
      <c r="C393" s="1" t="s">
        <v>32</v>
      </c>
      <c r="D393" s="1" t="s">
        <v>21</v>
      </c>
      <c r="E393" s="1" t="s">
        <v>37</v>
      </c>
      <c r="F393" s="1" t="s">
        <v>43</v>
      </c>
      <c r="G393" s="1">
        <v>2012</v>
      </c>
      <c r="H393" s="1">
        <v>2</v>
      </c>
      <c r="I393" s="1">
        <v>4</v>
      </c>
      <c r="J393" s="1" t="s">
        <v>14</v>
      </c>
      <c r="K393" s="1" t="s">
        <v>15</v>
      </c>
      <c r="L393" s="1" t="s">
        <v>16</v>
      </c>
      <c r="M393" s="1" t="s">
        <v>16</v>
      </c>
      <c r="N393" s="1" t="s">
        <v>33</v>
      </c>
      <c r="O393" s="1" t="s">
        <v>29</v>
      </c>
      <c r="P393" s="1" t="s">
        <v>29</v>
      </c>
      <c r="Q393" s="1" t="s">
        <v>19</v>
      </c>
      <c r="R393" s="1" t="s">
        <v>29</v>
      </c>
      <c r="S393" s="1" t="s">
        <v>29</v>
      </c>
      <c r="T393" s="1" t="s">
        <v>19</v>
      </c>
      <c r="U393" s="1" t="s">
        <v>29</v>
      </c>
      <c r="V393" s="1" t="s">
        <v>19</v>
      </c>
      <c r="W393" s="1" t="s">
        <v>29</v>
      </c>
      <c r="X393" s="1">
        <v>1.48</v>
      </c>
      <c r="Y393" s="1">
        <v>50</v>
      </c>
      <c r="Z393" s="3">
        <f t="shared" si="12"/>
        <v>22.826880934989045</v>
      </c>
      <c r="AA393" s="1">
        <v>94</v>
      </c>
      <c r="AB393" s="1">
        <v>95</v>
      </c>
      <c r="AC393" s="3">
        <f t="shared" si="13"/>
        <v>1.0106382978723405</v>
      </c>
      <c r="AD393" t="s">
        <v>164</v>
      </c>
      <c r="AE393">
        <v>58</v>
      </c>
      <c r="AF393">
        <v>14</v>
      </c>
      <c r="AG393">
        <v>36.799999999999997</v>
      </c>
      <c r="AH393" s="46">
        <v>20.2</v>
      </c>
    </row>
    <row r="394" spans="1:34" x14ac:dyDescent="0.25">
      <c r="A394" s="1">
        <v>392</v>
      </c>
      <c r="B394" s="1">
        <v>63</v>
      </c>
      <c r="C394" s="1" t="s">
        <v>32</v>
      </c>
      <c r="D394" s="1" t="s">
        <v>42</v>
      </c>
      <c r="E394" s="1" t="s">
        <v>22</v>
      </c>
      <c r="F394" s="1" t="s">
        <v>43</v>
      </c>
      <c r="G394" s="1">
        <v>2008</v>
      </c>
      <c r="H394" s="1">
        <v>6</v>
      </c>
      <c r="I394" s="1">
        <v>3</v>
      </c>
      <c r="J394" s="1" t="s">
        <v>14</v>
      </c>
      <c r="K394" s="1" t="s">
        <v>15</v>
      </c>
      <c r="L394" s="1" t="s">
        <v>16</v>
      </c>
      <c r="M394" s="1" t="s">
        <v>12</v>
      </c>
      <c r="N394" s="1" t="s">
        <v>33</v>
      </c>
      <c r="O394" s="1" t="s">
        <v>29</v>
      </c>
      <c r="P394" s="1" t="s">
        <v>29</v>
      </c>
      <c r="Q394" s="1" t="s">
        <v>19</v>
      </c>
      <c r="R394" s="1" t="s">
        <v>29</v>
      </c>
      <c r="S394" s="1" t="s">
        <v>29</v>
      </c>
      <c r="T394" s="1" t="s">
        <v>19</v>
      </c>
      <c r="U394" s="1" t="s">
        <v>29</v>
      </c>
      <c r="V394" s="1" t="s">
        <v>19</v>
      </c>
      <c r="W394" s="1" t="s">
        <v>29</v>
      </c>
      <c r="X394" s="1">
        <v>1.58</v>
      </c>
      <c r="Y394" s="1">
        <v>64</v>
      </c>
      <c r="Z394" s="3">
        <f t="shared" si="12"/>
        <v>25.63691716071142</v>
      </c>
      <c r="AA394" s="1">
        <v>107</v>
      </c>
      <c r="AB394" s="1">
        <v>81</v>
      </c>
      <c r="AC394" s="3">
        <f t="shared" si="13"/>
        <v>0.7570093457943925</v>
      </c>
      <c r="AD394" t="s">
        <v>172</v>
      </c>
      <c r="AE394">
        <v>76</v>
      </c>
      <c r="AF394">
        <v>16</v>
      </c>
      <c r="AG394">
        <v>36.6</v>
      </c>
      <c r="AH394" s="46">
        <v>3.7</v>
      </c>
    </row>
    <row r="395" spans="1:34" x14ac:dyDescent="0.25">
      <c r="A395" s="1">
        <v>393</v>
      </c>
      <c r="B395" s="1">
        <v>67</v>
      </c>
      <c r="C395" s="1" t="s">
        <v>32</v>
      </c>
      <c r="D395" s="1" t="s">
        <v>21</v>
      </c>
      <c r="E395" s="1" t="s">
        <v>37</v>
      </c>
      <c r="F395" s="1" t="s">
        <v>43</v>
      </c>
      <c r="G395" s="1">
        <v>2004</v>
      </c>
      <c r="H395" s="1">
        <v>10</v>
      </c>
      <c r="I395" s="1">
        <v>4</v>
      </c>
      <c r="J395" s="1" t="s">
        <v>14</v>
      </c>
      <c r="K395" s="1" t="s">
        <v>15</v>
      </c>
      <c r="L395" s="1" t="s">
        <v>129</v>
      </c>
      <c r="M395" s="1" t="s">
        <v>12</v>
      </c>
      <c r="N395" s="1" t="s">
        <v>33</v>
      </c>
      <c r="O395" s="1" t="s">
        <v>29</v>
      </c>
      <c r="P395" s="1" t="s">
        <v>29</v>
      </c>
      <c r="Q395" s="1" t="s">
        <v>19</v>
      </c>
      <c r="R395" s="1" t="s">
        <v>29</v>
      </c>
      <c r="S395" s="1" t="s">
        <v>29</v>
      </c>
      <c r="T395" s="1" t="s">
        <v>14</v>
      </c>
      <c r="U395" s="1" t="s">
        <v>76</v>
      </c>
      <c r="V395" s="1" t="s">
        <v>19</v>
      </c>
      <c r="W395" s="1" t="s">
        <v>29</v>
      </c>
      <c r="X395" s="1">
        <v>1.5</v>
      </c>
      <c r="Y395" s="1">
        <v>59</v>
      </c>
      <c r="Z395" s="3">
        <f t="shared" si="12"/>
        <v>26.222222222222221</v>
      </c>
      <c r="AA395" s="1">
        <v>107</v>
      </c>
      <c r="AB395" s="1">
        <v>98</v>
      </c>
      <c r="AC395" s="3">
        <f t="shared" si="13"/>
        <v>0.91588785046728971</v>
      </c>
      <c r="AD395" t="s">
        <v>188</v>
      </c>
      <c r="AE395">
        <v>56</v>
      </c>
      <c r="AF395">
        <v>16</v>
      </c>
      <c r="AG395">
        <v>37.1</v>
      </c>
      <c r="AH395" s="46">
        <v>4.2</v>
      </c>
    </row>
    <row r="396" spans="1:34" x14ac:dyDescent="0.25">
      <c r="A396" s="1">
        <v>394</v>
      </c>
      <c r="B396" s="1">
        <v>70</v>
      </c>
      <c r="C396" s="1" t="s">
        <v>11</v>
      </c>
      <c r="D396" s="1" t="s">
        <v>21</v>
      </c>
      <c r="E396" s="1" t="s">
        <v>36</v>
      </c>
      <c r="F396" s="1" t="s">
        <v>23</v>
      </c>
      <c r="G396" s="1">
        <v>2008</v>
      </c>
      <c r="H396" s="1">
        <v>6</v>
      </c>
      <c r="I396" s="1">
        <v>4</v>
      </c>
      <c r="J396" s="1" t="s">
        <v>14</v>
      </c>
      <c r="K396" s="1" t="s">
        <v>15</v>
      </c>
      <c r="L396" s="1" t="s">
        <v>16</v>
      </c>
      <c r="M396" s="1" t="s">
        <v>12</v>
      </c>
      <c r="N396" s="1" t="s">
        <v>25</v>
      </c>
      <c r="O396" s="1" t="s">
        <v>26</v>
      </c>
      <c r="P396" s="1" t="s">
        <v>40</v>
      </c>
      <c r="Q396" s="1" t="s">
        <v>14</v>
      </c>
      <c r="R396" s="1" t="s">
        <v>27</v>
      </c>
      <c r="S396" s="1" t="s">
        <v>27</v>
      </c>
      <c r="T396" s="1" t="s">
        <v>14</v>
      </c>
      <c r="U396" s="1" t="s">
        <v>75</v>
      </c>
      <c r="V396" s="1" t="s">
        <v>14</v>
      </c>
      <c r="W396" s="1" t="s">
        <v>75</v>
      </c>
      <c r="X396" s="1">
        <v>1.63</v>
      </c>
      <c r="Y396" s="1">
        <v>72</v>
      </c>
      <c r="Z396" s="3">
        <f t="shared" si="12"/>
        <v>27.099251006812452</v>
      </c>
      <c r="AA396" s="1">
        <v>95</v>
      </c>
      <c r="AB396" s="1">
        <v>100</v>
      </c>
      <c r="AC396" s="3">
        <f t="shared" si="13"/>
        <v>1.0526315789473684</v>
      </c>
      <c r="AD396" t="s">
        <v>173</v>
      </c>
      <c r="AE396">
        <v>76</v>
      </c>
      <c r="AF396">
        <v>18</v>
      </c>
      <c r="AG396">
        <v>37</v>
      </c>
      <c r="AH396" s="46">
        <v>7.6</v>
      </c>
    </row>
    <row r="397" spans="1:34" x14ac:dyDescent="0.25">
      <c r="A397" s="1">
        <v>395</v>
      </c>
      <c r="B397" s="1">
        <v>75</v>
      </c>
      <c r="C397" s="1" t="s">
        <v>11</v>
      </c>
      <c r="D397" s="1" t="s">
        <v>21</v>
      </c>
      <c r="E397" s="1" t="s">
        <v>22</v>
      </c>
      <c r="F397" s="1" t="s">
        <v>23</v>
      </c>
      <c r="G397" s="1">
        <v>2006</v>
      </c>
      <c r="H397" s="1">
        <v>8</v>
      </c>
      <c r="I397" s="1">
        <v>4</v>
      </c>
      <c r="J397" s="1" t="s">
        <v>19</v>
      </c>
      <c r="K397" s="1" t="s">
        <v>29</v>
      </c>
      <c r="L397" s="1" t="s">
        <v>16</v>
      </c>
      <c r="M397" s="1" t="s">
        <v>29</v>
      </c>
      <c r="N397" s="1" t="s">
        <v>33</v>
      </c>
      <c r="O397" s="1" t="s">
        <v>29</v>
      </c>
      <c r="P397" s="1" t="s">
        <v>29</v>
      </c>
      <c r="Q397" s="1" t="s">
        <v>19</v>
      </c>
      <c r="R397" s="1" t="s">
        <v>29</v>
      </c>
      <c r="S397" s="1" t="s">
        <v>29</v>
      </c>
      <c r="T397" s="1" t="s">
        <v>19</v>
      </c>
      <c r="U397" s="1" t="s">
        <v>29</v>
      </c>
      <c r="V397" s="1" t="s">
        <v>19</v>
      </c>
      <c r="W397" s="1" t="s">
        <v>29</v>
      </c>
      <c r="X397" s="1">
        <v>1.65</v>
      </c>
      <c r="Y397" s="1">
        <v>75</v>
      </c>
      <c r="Z397" s="3">
        <f t="shared" si="12"/>
        <v>27.548209366391188</v>
      </c>
      <c r="AA397" s="1">
        <v>96</v>
      </c>
      <c r="AB397" s="1">
        <v>102</v>
      </c>
      <c r="AC397" s="3">
        <f t="shared" si="13"/>
        <v>1.0625</v>
      </c>
      <c r="AD397" t="s">
        <v>178</v>
      </c>
      <c r="AE397">
        <v>82</v>
      </c>
      <c r="AF397">
        <v>14</v>
      </c>
      <c r="AG397">
        <v>37</v>
      </c>
      <c r="AH397" s="46">
        <v>10</v>
      </c>
    </row>
  </sheetData>
  <mergeCells count="1">
    <mergeCell ref="A1:AC1"/>
  </mergeCells>
  <printOptions horizontalCentered="1" gridLines="1"/>
  <pageMargins left="0.5" right="0.5" top="0.75" bottom="0.75" header="0.3" footer="0.3"/>
  <pageSetup scale="58" orientation="landscape" r:id="rId1"/>
  <headerFoot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4"/>
  <sheetViews>
    <sheetView workbookViewId="0">
      <pane xSplit="1" ySplit="2" topLeftCell="B155" activePane="bottomRight" state="frozen"/>
      <selection pane="topRight" activeCell="B1" sqref="B1"/>
      <selection pane="bottomLeft" activeCell="A3" sqref="A3"/>
      <selection pane="bottomRight" activeCell="B178" sqref="B178"/>
    </sheetView>
  </sheetViews>
  <sheetFormatPr defaultRowHeight="15" x14ac:dyDescent="0.25"/>
  <cols>
    <col min="1" max="1" width="5.140625" style="6" customWidth="1"/>
    <col min="2" max="2" width="6.140625" style="6" customWidth="1"/>
    <col min="3" max="3" width="11.42578125" customWidth="1"/>
    <col min="4" max="4" width="13.42578125" customWidth="1"/>
    <col min="5" max="5" width="12.85546875" customWidth="1"/>
    <col min="6" max="6" width="10.7109375" customWidth="1"/>
    <col min="10" max="10" width="10.5703125" customWidth="1"/>
    <col min="15" max="15" width="12.5703125" customWidth="1"/>
    <col min="16" max="18" width="12.28515625" customWidth="1"/>
  </cols>
  <sheetData>
    <row r="1" spans="1:19" x14ac:dyDescent="0.25">
      <c r="A1" s="64" t="s">
        <v>101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</row>
    <row r="2" spans="1:19" x14ac:dyDescent="0.25">
      <c r="A2" s="6" t="s">
        <v>0</v>
      </c>
      <c r="B2" s="6" t="s">
        <v>100</v>
      </c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  <c r="K2" t="s">
        <v>90</v>
      </c>
      <c r="L2" t="s">
        <v>91</v>
      </c>
      <c r="M2" t="s">
        <v>99</v>
      </c>
      <c r="N2" t="s">
        <v>92</v>
      </c>
      <c r="O2" t="s">
        <v>93</v>
      </c>
      <c r="P2" t="s">
        <v>94</v>
      </c>
      <c r="Q2" t="s">
        <v>137</v>
      </c>
      <c r="R2" t="s">
        <v>95</v>
      </c>
      <c r="S2" t="s">
        <v>96</v>
      </c>
    </row>
    <row r="3" spans="1:19" ht="15.75" x14ac:dyDescent="0.25">
      <c r="A3" s="6">
        <f>Questionnaire!A3</f>
        <v>1</v>
      </c>
      <c r="B3" s="8" t="s">
        <v>98</v>
      </c>
      <c r="C3" s="7" t="s">
        <v>97</v>
      </c>
      <c r="D3" s="8" t="s">
        <v>98</v>
      </c>
      <c r="E3" s="8" t="s">
        <v>98</v>
      </c>
      <c r="F3" s="8" t="s">
        <v>98</v>
      </c>
      <c r="G3" s="8" t="s">
        <v>98</v>
      </c>
      <c r="H3" s="7" t="s">
        <v>97</v>
      </c>
      <c r="I3" s="8" t="s">
        <v>98</v>
      </c>
      <c r="J3" s="8" t="s">
        <v>98</v>
      </c>
      <c r="K3" s="8" t="s">
        <v>98</v>
      </c>
      <c r="L3" s="7" t="s">
        <v>97</v>
      </c>
      <c r="M3" s="7" t="s">
        <v>98</v>
      </c>
      <c r="N3" s="8" t="s">
        <v>98</v>
      </c>
      <c r="O3" s="8" t="s">
        <v>98</v>
      </c>
      <c r="P3" s="8" t="s">
        <v>98</v>
      </c>
      <c r="Q3" s="8" t="s">
        <v>98</v>
      </c>
      <c r="R3" s="8" t="s">
        <v>98</v>
      </c>
      <c r="S3" s="8" t="s">
        <v>98</v>
      </c>
    </row>
    <row r="4" spans="1:19" ht="15.75" x14ac:dyDescent="0.25">
      <c r="A4" s="60">
        <f>Questionnaire!A4</f>
        <v>2</v>
      </c>
      <c r="B4" s="57" t="s">
        <v>98</v>
      </c>
      <c r="C4" s="58" t="s">
        <v>97</v>
      </c>
      <c r="D4" s="8" t="s">
        <v>98</v>
      </c>
      <c r="E4" s="8" t="s">
        <v>98</v>
      </c>
      <c r="F4" s="8" t="s">
        <v>98</v>
      </c>
      <c r="G4" s="8" t="s">
        <v>98</v>
      </c>
      <c r="H4" s="58" t="s">
        <v>97</v>
      </c>
      <c r="I4" s="8" t="s">
        <v>98</v>
      </c>
      <c r="J4" s="8" t="s">
        <v>98</v>
      </c>
      <c r="K4" s="8" t="s">
        <v>98</v>
      </c>
      <c r="L4" s="58" t="s">
        <v>97</v>
      </c>
      <c r="M4" s="58" t="s">
        <v>98</v>
      </c>
      <c r="N4" s="8" t="s">
        <v>98</v>
      </c>
      <c r="O4" s="8" t="s">
        <v>98</v>
      </c>
      <c r="P4" s="8" t="s">
        <v>98</v>
      </c>
      <c r="Q4" s="57" t="s">
        <v>98</v>
      </c>
      <c r="R4" s="8" t="s">
        <v>98</v>
      </c>
      <c r="S4" s="57"/>
    </row>
    <row r="5" spans="1:19" ht="15.75" x14ac:dyDescent="0.25">
      <c r="A5" s="6">
        <f>Questionnaire!A5</f>
        <v>3</v>
      </c>
      <c r="B5" s="8" t="s">
        <v>98</v>
      </c>
      <c r="C5" s="7" t="s">
        <v>97</v>
      </c>
      <c r="D5" s="8" t="s">
        <v>98</v>
      </c>
      <c r="E5" s="8" t="s">
        <v>98</v>
      </c>
      <c r="F5" s="8" t="s">
        <v>98</v>
      </c>
      <c r="G5" s="8" t="s">
        <v>98</v>
      </c>
      <c r="H5" s="7" t="s">
        <v>97</v>
      </c>
      <c r="I5" s="8" t="s">
        <v>98</v>
      </c>
      <c r="J5" s="8" t="s">
        <v>98</v>
      </c>
      <c r="K5" s="8" t="s">
        <v>98</v>
      </c>
      <c r="L5" s="8" t="s">
        <v>98</v>
      </c>
      <c r="M5" s="7" t="s">
        <v>98</v>
      </c>
      <c r="N5" s="8" t="s">
        <v>98</v>
      </c>
      <c r="O5" s="8" t="s">
        <v>98</v>
      </c>
      <c r="P5" s="8" t="s">
        <v>98</v>
      </c>
      <c r="Q5" s="8" t="s">
        <v>98</v>
      </c>
      <c r="R5" s="8" t="s">
        <v>98</v>
      </c>
      <c r="S5" s="8" t="s">
        <v>98</v>
      </c>
    </row>
    <row r="6" spans="1:19" ht="15.75" x14ac:dyDescent="0.25">
      <c r="A6" s="6">
        <f>Questionnaire!A6</f>
        <v>4</v>
      </c>
      <c r="B6" s="8" t="s">
        <v>98</v>
      </c>
      <c r="C6" s="7" t="s">
        <v>97</v>
      </c>
      <c r="D6" s="8" t="s">
        <v>98</v>
      </c>
      <c r="E6" s="8" t="s">
        <v>98</v>
      </c>
      <c r="F6" s="8" t="s">
        <v>98</v>
      </c>
      <c r="G6" s="8" t="s">
        <v>98</v>
      </c>
      <c r="H6" s="8" t="s">
        <v>98</v>
      </c>
      <c r="I6" s="8" t="s">
        <v>98</v>
      </c>
      <c r="J6" s="8" t="s">
        <v>98</v>
      </c>
      <c r="K6" s="8" t="s">
        <v>98</v>
      </c>
      <c r="L6" s="8" t="s">
        <v>98</v>
      </c>
      <c r="M6" s="7" t="s">
        <v>98</v>
      </c>
      <c r="N6" s="8" t="s">
        <v>98</v>
      </c>
      <c r="O6" s="8" t="s">
        <v>98</v>
      </c>
      <c r="P6" s="8" t="s">
        <v>98</v>
      </c>
      <c r="Q6" s="8" t="s">
        <v>98</v>
      </c>
      <c r="R6" s="8" t="s">
        <v>98</v>
      </c>
      <c r="S6" s="8" t="s">
        <v>98</v>
      </c>
    </row>
    <row r="7" spans="1:19" ht="15.75" x14ac:dyDescent="0.25">
      <c r="A7" s="6">
        <f>Questionnaire!A7</f>
        <v>5</v>
      </c>
      <c r="B7" s="8" t="s">
        <v>98</v>
      </c>
      <c r="C7" s="8" t="s">
        <v>98</v>
      </c>
      <c r="D7" s="7" t="s">
        <v>97</v>
      </c>
      <c r="E7" s="8" t="s">
        <v>98</v>
      </c>
      <c r="F7" s="8" t="s">
        <v>98</v>
      </c>
      <c r="G7" s="8" t="s">
        <v>98</v>
      </c>
      <c r="H7" s="8" t="s">
        <v>98</v>
      </c>
      <c r="I7" s="8" t="s">
        <v>98</v>
      </c>
      <c r="J7" s="8" t="s">
        <v>98</v>
      </c>
      <c r="K7" s="8" t="s">
        <v>98</v>
      </c>
      <c r="L7" s="8" t="s">
        <v>98</v>
      </c>
      <c r="M7" s="7" t="s">
        <v>98</v>
      </c>
      <c r="N7" s="8" t="s">
        <v>98</v>
      </c>
      <c r="O7" s="8" t="s">
        <v>98</v>
      </c>
      <c r="P7" s="7" t="s">
        <v>97</v>
      </c>
      <c r="Q7" s="8" t="s">
        <v>98</v>
      </c>
      <c r="R7" s="8" t="s">
        <v>98</v>
      </c>
      <c r="S7" s="8" t="s">
        <v>98</v>
      </c>
    </row>
    <row r="8" spans="1:19" ht="15.75" x14ac:dyDescent="0.25">
      <c r="A8" s="6">
        <f>Questionnaire!A8</f>
        <v>6</v>
      </c>
      <c r="B8" s="8" t="s">
        <v>98</v>
      </c>
      <c r="C8" s="8" t="s">
        <v>98</v>
      </c>
      <c r="D8" s="8" t="s">
        <v>98</v>
      </c>
      <c r="E8" s="8" t="s">
        <v>98</v>
      </c>
      <c r="F8" s="8" t="s">
        <v>98</v>
      </c>
      <c r="G8" s="7" t="s">
        <v>97</v>
      </c>
      <c r="H8" s="8" t="s">
        <v>98</v>
      </c>
      <c r="I8" s="8" t="s">
        <v>98</v>
      </c>
      <c r="J8" s="8" t="s">
        <v>98</v>
      </c>
      <c r="K8" s="8" t="s">
        <v>98</v>
      </c>
      <c r="L8" s="8" t="s">
        <v>98</v>
      </c>
      <c r="M8" s="7" t="s">
        <v>98</v>
      </c>
      <c r="N8" s="8" t="s">
        <v>98</v>
      </c>
      <c r="O8" s="8" t="s">
        <v>98</v>
      </c>
      <c r="P8" s="8" t="s">
        <v>98</v>
      </c>
      <c r="Q8" s="8" t="s">
        <v>98</v>
      </c>
      <c r="R8" s="8" t="s">
        <v>98</v>
      </c>
      <c r="S8" s="8" t="s">
        <v>98</v>
      </c>
    </row>
    <row r="9" spans="1:19" ht="15.75" x14ac:dyDescent="0.25">
      <c r="A9" s="6">
        <f>Questionnaire!A9</f>
        <v>7</v>
      </c>
      <c r="B9" s="8" t="s">
        <v>98</v>
      </c>
      <c r="C9" s="7" t="s">
        <v>97</v>
      </c>
      <c r="D9" s="7" t="s">
        <v>97</v>
      </c>
      <c r="E9" s="7" t="s">
        <v>97</v>
      </c>
      <c r="F9" s="8" t="s">
        <v>98</v>
      </c>
      <c r="G9" s="8" t="s">
        <v>98</v>
      </c>
      <c r="H9" s="8" t="s">
        <v>98</v>
      </c>
      <c r="I9" s="8" t="s">
        <v>98</v>
      </c>
      <c r="J9" s="8" t="s">
        <v>98</v>
      </c>
      <c r="K9" s="8" t="s">
        <v>98</v>
      </c>
      <c r="L9" s="8" t="s">
        <v>98</v>
      </c>
      <c r="M9" s="7" t="s">
        <v>98</v>
      </c>
      <c r="N9" s="8" t="s">
        <v>98</v>
      </c>
      <c r="O9" s="8" t="s">
        <v>98</v>
      </c>
      <c r="P9" s="8" t="s">
        <v>98</v>
      </c>
      <c r="Q9" s="8" t="s">
        <v>98</v>
      </c>
      <c r="R9" s="8" t="s">
        <v>98</v>
      </c>
      <c r="S9" s="8" t="s">
        <v>98</v>
      </c>
    </row>
    <row r="10" spans="1:19" ht="15.75" x14ac:dyDescent="0.25">
      <c r="A10" s="6">
        <f>Questionnaire!A10</f>
        <v>8</v>
      </c>
      <c r="B10" s="8" t="s">
        <v>98</v>
      </c>
      <c r="C10" s="7" t="s">
        <v>97</v>
      </c>
      <c r="D10" s="7" t="s">
        <v>97</v>
      </c>
      <c r="E10" s="8" t="s">
        <v>98</v>
      </c>
      <c r="F10" s="8" t="s">
        <v>98</v>
      </c>
      <c r="G10" s="8" t="s">
        <v>98</v>
      </c>
      <c r="H10" s="8" t="s">
        <v>98</v>
      </c>
      <c r="I10" s="7" t="s">
        <v>97</v>
      </c>
      <c r="J10" s="7" t="s">
        <v>97</v>
      </c>
      <c r="K10" s="7" t="s">
        <v>97</v>
      </c>
      <c r="L10" s="8" t="s">
        <v>98</v>
      </c>
      <c r="M10" s="7" t="s">
        <v>98</v>
      </c>
      <c r="N10" s="7" t="s">
        <v>97</v>
      </c>
      <c r="O10" s="7" t="s">
        <v>97</v>
      </c>
      <c r="P10" s="8" t="s">
        <v>98</v>
      </c>
      <c r="Q10" s="8" t="s">
        <v>98</v>
      </c>
      <c r="R10" s="8" t="s">
        <v>98</v>
      </c>
      <c r="S10" s="8" t="s">
        <v>98</v>
      </c>
    </row>
    <row r="11" spans="1:19" ht="15.75" x14ac:dyDescent="0.25">
      <c r="A11" s="6">
        <f>Questionnaire!A11</f>
        <v>9</v>
      </c>
      <c r="B11" s="8" t="s">
        <v>98</v>
      </c>
      <c r="C11" s="7" t="s">
        <v>97</v>
      </c>
      <c r="D11" s="7" t="s">
        <v>97</v>
      </c>
      <c r="E11" s="7" t="s">
        <v>97</v>
      </c>
      <c r="F11" s="8" t="s">
        <v>98</v>
      </c>
      <c r="G11" s="8" t="s">
        <v>98</v>
      </c>
      <c r="H11" s="7" t="s">
        <v>97</v>
      </c>
      <c r="I11" s="8" t="s">
        <v>98</v>
      </c>
      <c r="J11" s="8" t="s">
        <v>98</v>
      </c>
      <c r="K11" s="8" t="s">
        <v>98</v>
      </c>
      <c r="L11" s="8" t="s">
        <v>98</v>
      </c>
      <c r="M11" s="7" t="s">
        <v>98</v>
      </c>
      <c r="N11" s="8" t="s">
        <v>98</v>
      </c>
      <c r="O11" s="8" t="s">
        <v>98</v>
      </c>
      <c r="P11" s="8" t="s">
        <v>98</v>
      </c>
      <c r="Q11" s="8" t="s">
        <v>98</v>
      </c>
      <c r="R11" s="8" t="s">
        <v>98</v>
      </c>
      <c r="S11" s="8" t="s">
        <v>98</v>
      </c>
    </row>
    <row r="12" spans="1:19" ht="15.75" x14ac:dyDescent="0.25">
      <c r="A12" s="6">
        <f>Questionnaire!A12</f>
        <v>10</v>
      </c>
      <c r="B12" s="8" t="s">
        <v>98</v>
      </c>
      <c r="C12" s="7" t="s">
        <v>97</v>
      </c>
      <c r="D12" s="7" t="s">
        <v>97</v>
      </c>
      <c r="E12" s="7" t="s">
        <v>97</v>
      </c>
      <c r="F12" s="8" t="s">
        <v>98</v>
      </c>
      <c r="G12" s="8" t="s">
        <v>98</v>
      </c>
      <c r="H12" s="7" t="s">
        <v>97</v>
      </c>
      <c r="I12" s="8" t="s">
        <v>98</v>
      </c>
      <c r="J12" s="8" t="s">
        <v>98</v>
      </c>
      <c r="K12" s="8" t="s">
        <v>98</v>
      </c>
      <c r="L12" s="7" t="s">
        <v>97</v>
      </c>
      <c r="M12" s="7" t="s">
        <v>98</v>
      </c>
      <c r="N12" s="8" t="s">
        <v>98</v>
      </c>
      <c r="O12" s="8" t="s">
        <v>98</v>
      </c>
      <c r="P12" s="8" t="s">
        <v>98</v>
      </c>
      <c r="Q12" s="8" t="s">
        <v>98</v>
      </c>
      <c r="R12" s="8" t="s">
        <v>98</v>
      </c>
      <c r="S12" s="8" t="s">
        <v>98</v>
      </c>
    </row>
    <row r="13" spans="1:19" ht="15.75" x14ac:dyDescent="0.25">
      <c r="A13" s="6">
        <f>Questionnaire!A13</f>
        <v>11</v>
      </c>
      <c r="B13" s="8" t="s">
        <v>98</v>
      </c>
      <c r="C13" s="8" t="s">
        <v>98</v>
      </c>
      <c r="D13" s="8" t="s">
        <v>98</v>
      </c>
      <c r="E13" s="8" t="s">
        <v>98</v>
      </c>
      <c r="F13" s="8" t="s">
        <v>98</v>
      </c>
      <c r="G13" s="7" t="s">
        <v>97</v>
      </c>
      <c r="H13" s="7" t="s">
        <v>97</v>
      </c>
      <c r="I13" s="8" t="s">
        <v>98</v>
      </c>
      <c r="J13" s="8" t="s">
        <v>98</v>
      </c>
      <c r="K13" s="8" t="s">
        <v>98</v>
      </c>
      <c r="L13" s="7" t="s">
        <v>97</v>
      </c>
      <c r="M13" s="7" t="s">
        <v>98</v>
      </c>
      <c r="N13" s="8" t="s">
        <v>98</v>
      </c>
      <c r="O13" s="8" t="s">
        <v>98</v>
      </c>
      <c r="P13" s="8" t="s">
        <v>98</v>
      </c>
      <c r="Q13" s="8" t="s">
        <v>98</v>
      </c>
      <c r="R13" s="8" t="s">
        <v>98</v>
      </c>
      <c r="S13" s="8" t="s">
        <v>98</v>
      </c>
    </row>
    <row r="14" spans="1:19" ht="15.75" x14ac:dyDescent="0.25">
      <c r="A14" s="6">
        <f>Questionnaire!A14</f>
        <v>12</v>
      </c>
      <c r="B14" s="8" t="s">
        <v>98</v>
      </c>
      <c r="C14" s="7" t="s">
        <v>97</v>
      </c>
      <c r="D14" s="7" t="s">
        <v>97</v>
      </c>
      <c r="E14" s="8" t="s">
        <v>98</v>
      </c>
      <c r="F14" s="8" t="s">
        <v>98</v>
      </c>
      <c r="G14" s="8" t="s">
        <v>98</v>
      </c>
      <c r="H14" s="7" t="s">
        <v>97</v>
      </c>
      <c r="I14" s="8" t="s">
        <v>98</v>
      </c>
      <c r="J14" s="7" t="s">
        <v>97</v>
      </c>
      <c r="K14" s="8" t="s">
        <v>98</v>
      </c>
      <c r="L14" s="7" t="s">
        <v>97</v>
      </c>
      <c r="M14" s="7" t="s">
        <v>98</v>
      </c>
      <c r="N14" s="8" t="s">
        <v>98</v>
      </c>
      <c r="O14" s="8" t="s">
        <v>98</v>
      </c>
      <c r="P14" s="8" t="s">
        <v>98</v>
      </c>
      <c r="Q14" s="8" t="s">
        <v>98</v>
      </c>
      <c r="R14" s="8" t="s">
        <v>98</v>
      </c>
      <c r="S14" s="8" t="s">
        <v>98</v>
      </c>
    </row>
    <row r="15" spans="1:19" ht="15.75" x14ac:dyDescent="0.25">
      <c r="A15" s="6">
        <f>Questionnaire!A15</f>
        <v>13</v>
      </c>
      <c r="B15" s="8" t="s">
        <v>98</v>
      </c>
      <c r="C15" s="7" t="s">
        <v>97</v>
      </c>
      <c r="D15" s="8" t="s">
        <v>98</v>
      </c>
      <c r="E15" s="8" t="s">
        <v>98</v>
      </c>
      <c r="F15" s="8" t="s">
        <v>98</v>
      </c>
      <c r="G15" s="8" t="s">
        <v>98</v>
      </c>
      <c r="H15" s="8" t="s">
        <v>98</v>
      </c>
      <c r="I15" s="7" t="s">
        <v>97</v>
      </c>
      <c r="J15" s="7" t="s">
        <v>97</v>
      </c>
      <c r="K15" s="8" t="s">
        <v>98</v>
      </c>
      <c r="L15" s="7" t="s">
        <v>97</v>
      </c>
      <c r="M15" s="7" t="s">
        <v>98</v>
      </c>
      <c r="N15" s="8" t="s">
        <v>98</v>
      </c>
      <c r="O15" s="8" t="s">
        <v>98</v>
      </c>
      <c r="P15" s="8" t="s">
        <v>98</v>
      </c>
      <c r="Q15" s="8" t="s">
        <v>98</v>
      </c>
      <c r="R15" s="8" t="s">
        <v>98</v>
      </c>
      <c r="S15" s="8" t="s">
        <v>98</v>
      </c>
    </row>
    <row r="16" spans="1:19" ht="15.75" x14ac:dyDescent="0.25">
      <c r="A16" s="6">
        <f>Questionnaire!A16</f>
        <v>14</v>
      </c>
      <c r="B16" s="8" t="s">
        <v>98</v>
      </c>
      <c r="C16" s="7" t="s">
        <v>97</v>
      </c>
      <c r="D16" s="8" t="s">
        <v>98</v>
      </c>
      <c r="E16" s="8" t="s">
        <v>98</v>
      </c>
      <c r="F16" s="8" t="s">
        <v>98</v>
      </c>
      <c r="G16" s="8" t="s">
        <v>98</v>
      </c>
      <c r="H16" s="8" t="s">
        <v>98</v>
      </c>
      <c r="I16" s="7" t="s">
        <v>97</v>
      </c>
      <c r="J16" s="8" t="s">
        <v>98</v>
      </c>
      <c r="K16" s="8" t="s">
        <v>98</v>
      </c>
      <c r="L16" s="7" t="s">
        <v>97</v>
      </c>
      <c r="M16" s="7" t="s">
        <v>98</v>
      </c>
      <c r="N16" s="8" t="s">
        <v>98</v>
      </c>
      <c r="O16" s="8" t="s">
        <v>98</v>
      </c>
      <c r="P16" s="8" t="s">
        <v>98</v>
      </c>
      <c r="Q16" s="8" t="s">
        <v>98</v>
      </c>
      <c r="R16" s="8" t="s">
        <v>98</v>
      </c>
      <c r="S16" s="7" t="s">
        <v>97</v>
      </c>
    </row>
    <row r="17" spans="1:19" ht="15.75" x14ac:dyDescent="0.25">
      <c r="A17" s="6">
        <f>Questionnaire!A17</f>
        <v>15</v>
      </c>
      <c r="B17" s="8" t="s">
        <v>98</v>
      </c>
      <c r="C17" s="7" t="s">
        <v>97</v>
      </c>
      <c r="D17" s="7" t="s">
        <v>97</v>
      </c>
      <c r="E17" s="8" t="s">
        <v>98</v>
      </c>
      <c r="F17" s="8" t="s">
        <v>98</v>
      </c>
      <c r="G17" s="8" t="s">
        <v>98</v>
      </c>
      <c r="H17" s="8" t="s">
        <v>98</v>
      </c>
      <c r="I17" s="8" t="s">
        <v>98</v>
      </c>
      <c r="J17" s="8" t="s">
        <v>98</v>
      </c>
      <c r="K17" s="8" t="s">
        <v>98</v>
      </c>
      <c r="L17" s="8" t="s">
        <v>98</v>
      </c>
      <c r="M17" s="7" t="s">
        <v>98</v>
      </c>
      <c r="N17" s="8" t="s">
        <v>98</v>
      </c>
      <c r="O17" s="8" t="s">
        <v>98</v>
      </c>
      <c r="P17" s="8" t="s">
        <v>98</v>
      </c>
      <c r="Q17" s="8" t="s">
        <v>98</v>
      </c>
      <c r="R17" s="8" t="s">
        <v>98</v>
      </c>
      <c r="S17" s="8" t="s">
        <v>98</v>
      </c>
    </row>
    <row r="18" spans="1:19" ht="15.75" x14ac:dyDescent="0.25">
      <c r="A18" s="6">
        <f>Questionnaire!A18</f>
        <v>16</v>
      </c>
      <c r="B18" s="8" t="s">
        <v>98</v>
      </c>
      <c r="C18" s="7" t="s">
        <v>97</v>
      </c>
      <c r="D18" s="7" t="s">
        <v>97</v>
      </c>
      <c r="E18" s="8" t="s">
        <v>98</v>
      </c>
      <c r="F18" s="8" t="s">
        <v>98</v>
      </c>
      <c r="G18" s="8" t="s">
        <v>98</v>
      </c>
      <c r="H18" s="8" t="s">
        <v>98</v>
      </c>
      <c r="I18" s="8" t="s">
        <v>98</v>
      </c>
      <c r="J18" s="8" t="s">
        <v>98</v>
      </c>
      <c r="K18" s="8" t="s">
        <v>98</v>
      </c>
      <c r="L18" s="8" t="s">
        <v>98</v>
      </c>
      <c r="M18" s="7" t="s">
        <v>98</v>
      </c>
      <c r="N18" s="8" t="s">
        <v>98</v>
      </c>
      <c r="O18" s="8" t="s">
        <v>98</v>
      </c>
      <c r="P18" s="8" t="s">
        <v>98</v>
      </c>
      <c r="Q18" s="8" t="s">
        <v>98</v>
      </c>
      <c r="R18" s="8" t="s">
        <v>98</v>
      </c>
      <c r="S18" s="8" t="s">
        <v>98</v>
      </c>
    </row>
    <row r="19" spans="1:19" ht="15.75" x14ac:dyDescent="0.25">
      <c r="A19" s="6">
        <f>Questionnaire!A19</f>
        <v>17</v>
      </c>
      <c r="B19" s="8" t="s">
        <v>98</v>
      </c>
      <c r="C19" s="7" t="s">
        <v>97</v>
      </c>
      <c r="D19" s="8" t="s">
        <v>98</v>
      </c>
      <c r="E19" s="8" t="s">
        <v>98</v>
      </c>
      <c r="F19" s="8" t="s">
        <v>98</v>
      </c>
      <c r="G19" s="8" t="s">
        <v>98</v>
      </c>
      <c r="H19" s="8" t="s">
        <v>98</v>
      </c>
      <c r="I19" s="7" t="s">
        <v>97</v>
      </c>
      <c r="J19" s="8" t="s">
        <v>98</v>
      </c>
      <c r="K19" s="8" t="s">
        <v>98</v>
      </c>
      <c r="L19" s="8" t="s">
        <v>98</v>
      </c>
      <c r="M19" s="7" t="s">
        <v>98</v>
      </c>
      <c r="N19" s="8" t="s">
        <v>98</v>
      </c>
      <c r="O19" s="8" t="s">
        <v>98</v>
      </c>
      <c r="P19" s="8" t="s">
        <v>98</v>
      </c>
      <c r="Q19" s="8" t="s">
        <v>98</v>
      </c>
      <c r="R19" s="8" t="s">
        <v>98</v>
      </c>
      <c r="S19" s="7" t="s">
        <v>97</v>
      </c>
    </row>
    <row r="20" spans="1:19" ht="15.75" x14ac:dyDescent="0.25">
      <c r="A20" s="60">
        <f>Questionnaire!A20</f>
        <v>18</v>
      </c>
      <c r="B20" s="57" t="s">
        <v>98</v>
      </c>
      <c r="C20" s="58" t="s">
        <v>97</v>
      </c>
      <c r="D20" s="8" t="s">
        <v>98</v>
      </c>
      <c r="E20" s="8" t="s">
        <v>98</v>
      </c>
      <c r="F20" s="8" t="s">
        <v>98</v>
      </c>
      <c r="G20" s="8" t="s">
        <v>98</v>
      </c>
      <c r="H20" s="58" t="s">
        <v>97</v>
      </c>
      <c r="I20" s="8" t="s">
        <v>98</v>
      </c>
      <c r="J20" s="58" t="s">
        <v>97</v>
      </c>
      <c r="K20" s="8" t="s">
        <v>98</v>
      </c>
      <c r="L20" s="8" t="s">
        <v>98</v>
      </c>
      <c r="M20" s="58" t="s">
        <v>98</v>
      </c>
      <c r="N20" s="8" t="s">
        <v>98</v>
      </c>
      <c r="O20" s="8" t="s">
        <v>98</v>
      </c>
      <c r="P20" s="8" t="s">
        <v>98</v>
      </c>
      <c r="Q20" s="8" t="s">
        <v>98</v>
      </c>
      <c r="R20" s="8" t="s">
        <v>98</v>
      </c>
      <c r="S20" s="8" t="s">
        <v>98</v>
      </c>
    </row>
    <row r="21" spans="1:19" ht="15.75" x14ac:dyDescent="0.25">
      <c r="A21" s="6">
        <f>Questionnaire!A21</f>
        <v>19</v>
      </c>
      <c r="B21" s="8" t="s">
        <v>98</v>
      </c>
      <c r="C21" s="7" t="s">
        <v>97</v>
      </c>
      <c r="D21" s="7" t="s">
        <v>97</v>
      </c>
      <c r="E21" s="8" t="s">
        <v>98</v>
      </c>
      <c r="F21" s="8" t="s">
        <v>98</v>
      </c>
      <c r="G21" s="8" t="s">
        <v>98</v>
      </c>
      <c r="H21" s="8" t="s">
        <v>98</v>
      </c>
      <c r="I21" s="7" t="s">
        <v>97</v>
      </c>
      <c r="J21" s="8" t="s">
        <v>98</v>
      </c>
      <c r="K21" s="8" t="s">
        <v>98</v>
      </c>
      <c r="L21" s="7" t="s">
        <v>97</v>
      </c>
      <c r="M21" s="7" t="s">
        <v>98</v>
      </c>
      <c r="N21" s="8" t="s">
        <v>98</v>
      </c>
      <c r="O21" s="8" t="s">
        <v>98</v>
      </c>
      <c r="P21" s="8" t="s">
        <v>98</v>
      </c>
      <c r="Q21" s="8" t="s">
        <v>98</v>
      </c>
      <c r="R21" s="8" t="s">
        <v>98</v>
      </c>
      <c r="S21" s="8" t="s">
        <v>98</v>
      </c>
    </row>
    <row r="22" spans="1:19" ht="15.75" x14ac:dyDescent="0.25">
      <c r="A22" s="6">
        <f>Questionnaire!A22</f>
        <v>20</v>
      </c>
      <c r="B22" s="8" t="s">
        <v>98</v>
      </c>
      <c r="C22" s="7" t="s">
        <v>97</v>
      </c>
      <c r="D22" s="7" t="s">
        <v>97</v>
      </c>
      <c r="E22" s="8" t="s">
        <v>98</v>
      </c>
      <c r="F22" s="8" t="s">
        <v>98</v>
      </c>
      <c r="G22" s="8" t="s">
        <v>98</v>
      </c>
      <c r="H22" s="7" t="s">
        <v>97</v>
      </c>
      <c r="I22" s="8" t="s">
        <v>98</v>
      </c>
      <c r="J22" s="8" t="s">
        <v>98</v>
      </c>
      <c r="K22" s="8" t="s">
        <v>98</v>
      </c>
      <c r="L22" s="7" t="s">
        <v>97</v>
      </c>
      <c r="M22" s="7" t="s">
        <v>98</v>
      </c>
      <c r="N22" s="8" t="s">
        <v>98</v>
      </c>
      <c r="O22" s="8" t="s">
        <v>98</v>
      </c>
      <c r="P22" s="8" t="s">
        <v>98</v>
      </c>
      <c r="Q22" s="8" t="s">
        <v>98</v>
      </c>
      <c r="R22" s="8" t="s">
        <v>98</v>
      </c>
      <c r="S22" s="7" t="s">
        <v>97</v>
      </c>
    </row>
    <row r="23" spans="1:19" ht="15.75" x14ac:dyDescent="0.25">
      <c r="A23" s="6">
        <f>Questionnaire!A23</f>
        <v>21</v>
      </c>
      <c r="B23" s="8" t="s">
        <v>98</v>
      </c>
      <c r="C23" s="8" t="s">
        <v>98</v>
      </c>
      <c r="D23" s="8" t="s">
        <v>98</v>
      </c>
      <c r="E23" s="8" t="s">
        <v>98</v>
      </c>
      <c r="F23" s="8" t="s">
        <v>98</v>
      </c>
      <c r="G23" s="7" t="s">
        <v>97</v>
      </c>
      <c r="H23" s="7" t="s">
        <v>97</v>
      </c>
      <c r="I23" s="8" t="s">
        <v>98</v>
      </c>
      <c r="J23" s="7" t="s">
        <v>97</v>
      </c>
      <c r="K23" s="8" t="s">
        <v>98</v>
      </c>
      <c r="L23" s="8" t="s">
        <v>98</v>
      </c>
      <c r="M23" s="7" t="s">
        <v>98</v>
      </c>
      <c r="N23" s="8" t="s">
        <v>98</v>
      </c>
      <c r="O23" s="8" t="s">
        <v>98</v>
      </c>
      <c r="P23" s="8" t="s">
        <v>98</v>
      </c>
      <c r="Q23" s="8" t="s">
        <v>98</v>
      </c>
      <c r="R23" s="8" t="s">
        <v>98</v>
      </c>
      <c r="S23" s="8" t="s">
        <v>98</v>
      </c>
    </row>
    <row r="24" spans="1:19" ht="15.75" x14ac:dyDescent="0.25">
      <c r="A24" s="6">
        <f>Questionnaire!A24</f>
        <v>22</v>
      </c>
      <c r="B24" s="8" t="s">
        <v>98</v>
      </c>
      <c r="C24" s="7" t="s">
        <v>97</v>
      </c>
      <c r="D24" s="8" t="s">
        <v>98</v>
      </c>
      <c r="E24" s="8" t="s">
        <v>98</v>
      </c>
      <c r="F24" s="8" t="s">
        <v>98</v>
      </c>
      <c r="G24" s="7" t="s">
        <v>97</v>
      </c>
      <c r="H24" s="8" t="s">
        <v>98</v>
      </c>
      <c r="I24" s="7" t="s">
        <v>97</v>
      </c>
      <c r="J24" s="7" t="s">
        <v>97</v>
      </c>
      <c r="K24" s="7" t="s">
        <v>97</v>
      </c>
      <c r="L24" s="8" t="s">
        <v>98</v>
      </c>
      <c r="M24" s="7" t="s">
        <v>98</v>
      </c>
      <c r="N24" s="8" t="s">
        <v>98</v>
      </c>
      <c r="O24" s="7" t="s">
        <v>97</v>
      </c>
      <c r="P24" s="8" t="s">
        <v>98</v>
      </c>
      <c r="Q24" s="8" t="s">
        <v>98</v>
      </c>
      <c r="R24" s="8" t="s">
        <v>98</v>
      </c>
      <c r="S24" s="8" t="s">
        <v>98</v>
      </c>
    </row>
    <row r="25" spans="1:19" ht="15.75" x14ac:dyDescent="0.25">
      <c r="A25" s="6">
        <f>Questionnaire!A25</f>
        <v>23</v>
      </c>
      <c r="B25" s="8" t="s">
        <v>98</v>
      </c>
      <c r="C25" s="8" t="s">
        <v>98</v>
      </c>
      <c r="D25" s="8" t="s">
        <v>98</v>
      </c>
      <c r="E25" s="8" t="s">
        <v>98</v>
      </c>
      <c r="F25" s="8" t="s">
        <v>98</v>
      </c>
      <c r="G25" s="7" t="s">
        <v>97</v>
      </c>
      <c r="H25" s="8" t="s">
        <v>98</v>
      </c>
      <c r="I25" s="8" t="s">
        <v>98</v>
      </c>
      <c r="J25" s="8" t="s">
        <v>98</v>
      </c>
      <c r="K25" s="8" t="s">
        <v>98</v>
      </c>
      <c r="L25" s="8" t="s">
        <v>98</v>
      </c>
      <c r="M25" s="7" t="s">
        <v>98</v>
      </c>
      <c r="N25" s="8" t="s">
        <v>98</v>
      </c>
      <c r="O25" s="8" t="s">
        <v>98</v>
      </c>
      <c r="P25" s="8" t="s">
        <v>98</v>
      </c>
      <c r="Q25" s="8" t="s">
        <v>98</v>
      </c>
      <c r="R25" s="8" t="s">
        <v>98</v>
      </c>
      <c r="S25" s="7" t="s">
        <v>97</v>
      </c>
    </row>
    <row r="26" spans="1:19" ht="15.75" x14ac:dyDescent="0.25">
      <c r="A26" s="6">
        <f>Questionnaire!A26</f>
        <v>24</v>
      </c>
      <c r="B26" s="8" t="s">
        <v>98</v>
      </c>
      <c r="C26" s="8" t="s">
        <v>98</v>
      </c>
      <c r="D26" s="8" t="s">
        <v>98</v>
      </c>
      <c r="E26" s="8" t="s">
        <v>98</v>
      </c>
      <c r="F26" s="8" t="s">
        <v>98</v>
      </c>
      <c r="G26" s="7" t="s">
        <v>97</v>
      </c>
      <c r="H26" s="7" t="s">
        <v>97</v>
      </c>
      <c r="I26" s="8" t="s">
        <v>98</v>
      </c>
      <c r="J26" s="7" t="s">
        <v>97</v>
      </c>
      <c r="K26" s="7" t="s">
        <v>97</v>
      </c>
      <c r="L26" s="8" t="s">
        <v>98</v>
      </c>
      <c r="M26" s="7" t="s">
        <v>98</v>
      </c>
      <c r="N26" s="8" t="s">
        <v>98</v>
      </c>
      <c r="O26" s="7" t="s">
        <v>97</v>
      </c>
      <c r="P26" s="7" t="s">
        <v>97</v>
      </c>
      <c r="Q26" s="8" t="s">
        <v>98</v>
      </c>
      <c r="R26" s="8" t="s">
        <v>98</v>
      </c>
      <c r="S26" s="8" t="s">
        <v>98</v>
      </c>
    </row>
    <row r="27" spans="1:19" ht="15.75" x14ac:dyDescent="0.25">
      <c r="A27" s="6">
        <f>Questionnaire!A27</f>
        <v>25</v>
      </c>
      <c r="B27" s="8" t="s">
        <v>98</v>
      </c>
      <c r="C27" s="7" t="s">
        <v>97</v>
      </c>
      <c r="D27" s="8" t="s">
        <v>98</v>
      </c>
      <c r="E27" s="8" t="s">
        <v>98</v>
      </c>
      <c r="F27" s="8" t="s">
        <v>98</v>
      </c>
      <c r="G27" s="8" t="s">
        <v>98</v>
      </c>
      <c r="H27" s="8" t="s">
        <v>98</v>
      </c>
      <c r="I27" s="7" t="s">
        <v>97</v>
      </c>
      <c r="J27" s="8" t="s">
        <v>98</v>
      </c>
      <c r="K27" s="8" t="s">
        <v>98</v>
      </c>
      <c r="L27" s="7" t="s">
        <v>97</v>
      </c>
      <c r="M27" s="7" t="s">
        <v>98</v>
      </c>
      <c r="N27" s="8" t="s">
        <v>98</v>
      </c>
      <c r="O27" s="8" t="s">
        <v>98</v>
      </c>
      <c r="P27" s="8" t="s">
        <v>98</v>
      </c>
      <c r="Q27" s="8" t="s">
        <v>98</v>
      </c>
      <c r="R27" s="8" t="s">
        <v>98</v>
      </c>
      <c r="S27" s="8" t="s">
        <v>98</v>
      </c>
    </row>
    <row r="28" spans="1:19" ht="15.75" x14ac:dyDescent="0.25">
      <c r="A28" s="6">
        <f>Questionnaire!A28</f>
        <v>26</v>
      </c>
      <c r="B28" s="8" t="s">
        <v>98</v>
      </c>
      <c r="C28" s="7" t="s">
        <v>97</v>
      </c>
      <c r="D28" s="7" t="s">
        <v>97</v>
      </c>
      <c r="E28" s="8" t="s">
        <v>98</v>
      </c>
      <c r="F28" s="8" t="s">
        <v>98</v>
      </c>
      <c r="G28" s="8" t="s">
        <v>98</v>
      </c>
      <c r="H28" s="8" t="s">
        <v>98</v>
      </c>
      <c r="I28" s="8" t="s">
        <v>98</v>
      </c>
      <c r="J28" s="8" t="s">
        <v>98</v>
      </c>
      <c r="K28" s="7" t="s">
        <v>97</v>
      </c>
      <c r="L28" s="8" t="s">
        <v>98</v>
      </c>
      <c r="M28" s="7" t="s">
        <v>98</v>
      </c>
      <c r="N28" s="8" t="s">
        <v>98</v>
      </c>
      <c r="O28" s="8" t="s">
        <v>98</v>
      </c>
      <c r="P28" s="8" t="s">
        <v>98</v>
      </c>
      <c r="Q28" s="8" t="s">
        <v>98</v>
      </c>
      <c r="R28" s="8" t="s">
        <v>98</v>
      </c>
      <c r="S28" s="8" t="s">
        <v>98</v>
      </c>
    </row>
    <row r="29" spans="1:19" ht="15.75" x14ac:dyDescent="0.25">
      <c r="A29" s="6">
        <f>Questionnaire!A29</f>
        <v>27</v>
      </c>
      <c r="B29" s="8" t="s">
        <v>98</v>
      </c>
      <c r="C29" s="8" t="s">
        <v>98</v>
      </c>
      <c r="D29" s="8" t="s">
        <v>98</v>
      </c>
      <c r="E29" s="8" t="s">
        <v>98</v>
      </c>
      <c r="F29" s="8" t="s">
        <v>98</v>
      </c>
      <c r="G29" s="7" t="s">
        <v>97</v>
      </c>
      <c r="H29" s="8" t="s">
        <v>98</v>
      </c>
      <c r="I29" s="8" t="s">
        <v>98</v>
      </c>
      <c r="J29" s="8" t="s">
        <v>98</v>
      </c>
      <c r="K29" s="8" t="s">
        <v>98</v>
      </c>
      <c r="L29" s="8" t="s">
        <v>98</v>
      </c>
      <c r="M29" s="7" t="s">
        <v>98</v>
      </c>
      <c r="N29" s="8" t="s">
        <v>98</v>
      </c>
      <c r="O29" s="8" t="s">
        <v>98</v>
      </c>
      <c r="P29" s="8" t="s">
        <v>98</v>
      </c>
      <c r="Q29" s="8" t="s">
        <v>98</v>
      </c>
      <c r="R29" s="8" t="s">
        <v>98</v>
      </c>
      <c r="S29" s="8" t="s">
        <v>98</v>
      </c>
    </row>
    <row r="30" spans="1:19" ht="15.75" x14ac:dyDescent="0.25">
      <c r="A30" s="6">
        <f>Questionnaire!A30</f>
        <v>28</v>
      </c>
      <c r="B30" s="8" t="s">
        <v>98</v>
      </c>
      <c r="C30" s="7" t="s">
        <v>97</v>
      </c>
      <c r="D30" s="7" t="s">
        <v>97</v>
      </c>
      <c r="E30" s="8" t="s">
        <v>98</v>
      </c>
      <c r="F30" s="8" t="s">
        <v>98</v>
      </c>
      <c r="G30" s="8" t="s">
        <v>98</v>
      </c>
      <c r="H30" s="7" t="s">
        <v>97</v>
      </c>
      <c r="I30" s="7" t="s">
        <v>97</v>
      </c>
      <c r="J30" s="7" t="s">
        <v>97</v>
      </c>
      <c r="K30" s="7" t="s">
        <v>97</v>
      </c>
      <c r="L30" s="7" t="s">
        <v>97</v>
      </c>
      <c r="M30" s="7" t="s">
        <v>98</v>
      </c>
      <c r="N30" s="8" t="s">
        <v>98</v>
      </c>
      <c r="O30" s="8" t="s">
        <v>98</v>
      </c>
      <c r="P30" s="8" t="s">
        <v>98</v>
      </c>
      <c r="Q30" s="8" t="s">
        <v>98</v>
      </c>
      <c r="R30" s="8" t="s">
        <v>98</v>
      </c>
      <c r="S30" s="8" t="s">
        <v>98</v>
      </c>
    </row>
    <row r="31" spans="1:19" ht="15.75" x14ac:dyDescent="0.25">
      <c r="A31" s="6">
        <f>Questionnaire!A31</f>
        <v>29</v>
      </c>
      <c r="B31" s="8" t="s">
        <v>98</v>
      </c>
      <c r="C31" s="7" t="s">
        <v>97</v>
      </c>
      <c r="D31" s="7" t="s">
        <v>97</v>
      </c>
      <c r="E31" s="8" t="s">
        <v>98</v>
      </c>
      <c r="F31" s="8" t="s">
        <v>98</v>
      </c>
      <c r="G31" s="8" t="s">
        <v>98</v>
      </c>
      <c r="H31" s="8" t="s">
        <v>98</v>
      </c>
      <c r="I31" s="7" t="s">
        <v>97</v>
      </c>
      <c r="J31" s="8" t="s">
        <v>98</v>
      </c>
      <c r="K31" s="8" t="s">
        <v>98</v>
      </c>
      <c r="L31" s="7" t="s">
        <v>97</v>
      </c>
      <c r="M31" s="7" t="s">
        <v>97</v>
      </c>
      <c r="N31" s="8" t="s">
        <v>98</v>
      </c>
      <c r="O31" s="8" t="s">
        <v>98</v>
      </c>
      <c r="P31" s="8" t="s">
        <v>98</v>
      </c>
      <c r="Q31" s="8" t="s">
        <v>98</v>
      </c>
      <c r="R31" s="8" t="s">
        <v>98</v>
      </c>
      <c r="S31" s="8" t="s">
        <v>98</v>
      </c>
    </row>
    <row r="32" spans="1:19" ht="15.75" x14ac:dyDescent="0.25">
      <c r="A32" s="6">
        <f>Questionnaire!A32</f>
        <v>30</v>
      </c>
      <c r="B32" s="7" t="s">
        <v>97</v>
      </c>
      <c r="C32" s="8" t="s">
        <v>98</v>
      </c>
      <c r="D32" s="8" t="s">
        <v>98</v>
      </c>
      <c r="E32" s="8" t="s">
        <v>98</v>
      </c>
      <c r="F32" s="8" t="s">
        <v>98</v>
      </c>
      <c r="G32" s="8" t="s">
        <v>98</v>
      </c>
      <c r="H32" s="8" t="s">
        <v>98</v>
      </c>
      <c r="I32" s="8" t="s">
        <v>98</v>
      </c>
      <c r="J32" s="8" t="s">
        <v>98</v>
      </c>
      <c r="K32" s="7" t="s">
        <v>97</v>
      </c>
      <c r="L32" s="7" t="s">
        <v>97</v>
      </c>
      <c r="M32" s="7" t="s">
        <v>98</v>
      </c>
      <c r="N32" s="8" t="s">
        <v>98</v>
      </c>
      <c r="O32" s="8" t="s">
        <v>98</v>
      </c>
      <c r="P32" s="8" t="s">
        <v>98</v>
      </c>
      <c r="Q32" s="8" t="s">
        <v>98</v>
      </c>
      <c r="R32" s="8" t="s">
        <v>98</v>
      </c>
      <c r="S32" s="7" t="s">
        <v>97</v>
      </c>
    </row>
    <row r="33" spans="1:19" ht="15.75" x14ac:dyDescent="0.25">
      <c r="A33" s="6">
        <f>Questionnaire!A33</f>
        <v>31</v>
      </c>
      <c r="B33" s="8" t="s">
        <v>98</v>
      </c>
      <c r="C33" s="7" t="s">
        <v>97</v>
      </c>
      <c r="D33" s="8" t="s">
        <v>98</v>
      </c>
      <c r="E33" s="8" t="s">
        <v>98</v>
      </c>
      <c r="F33" s="8" t="s">
        <v>98</v>
      </c>
      <c r="G33" s="8" t="s">
        <v>98</v>
      </c>
      <c r="H33" s="7" t="s">
        <v>97</v>
      </c>
      <c r="I33" s="8" t="s">
        <v>98</v>
      </c>
      <c r="J33" s="7" t="s">
        <v>97</v>
      </c>
      <c r="K33" s="8" t="s">
        <v>98</v>
      </c>
      <c r="L33" s="7" t="s">
        <v>97</v>
      </c>
      <c r="M33" s="7" t="s">
        <v>98</v>
      </c>
      <c r="N33" s="8" t="s">
        <v>98</v>
      </c>
      <c r="O33" s="8" t="s">
        <v>98</v>
      </c>
      <c r="P33" s="8" t="s">
        <v>98</v>
      </c>
      <c r="Q33" s="8" t="s">
        <v>98</v>
      </c>
      <c r="R33" s="8" t="s">
        <v>98</v>
      </c>
      <c r="S33" s="8" t="s">
        <v>98</v>
      </c>
    </row>
    <row r="34" spans="1:19" ht="15.75" x14ac:dyDescent="0.25">
      <c r="A34" s="6">
        <f>Questionnaire!A34</f>
        <v>32</v>
      </c>
      <c r="B34" s="8" t="s">
        <v>98</v>
      </c>
      <c r="C34" s="7" t="s">
        <v>97</v>
      </c>
      <c r="D34" s="8" t="s">
        <v>98</v>
      </c>
      <c r="E34" s="8" t="s">
        <v>98</v>
      </c>
      <c r="F34" s="8" t="s">
        <v>98</v>
      </c>
      <c r="G34" s="8" t="s">
        <v>98</v>
      </c>
      <c r="H34" s="8" t="s">
        <v>98</v>
      </c>
      <c r="I34" s="7" t="s">
        <v>97</v>
      </c>
      <c r="J34" s="7" t="s">
        <v>97</v>
      </c>
      <c r="K34" s="8" t="s">
        <v>98</v>
      </c>
      <c r="L34" s="8" t="s">
        <v>98</v>
      </c>
      <c r="M34" s="7" t="s">
        <v>98</v>
      </c>
      <c r="N34" s="8" t="s">
        <v>98</v>
      </c>
      <c r="O34" s="8" t="s">
        <v>98</v>
      </c>
      <c r="P34" s="8" t="s">
        <v>98</v>
      </c>
      <c r="Q34" s="8" t="s">
        <v>98</v>
      </c>
      <c r="R34" s="8" t="s">
        <v>98</v>
      </c>
      <c r="S34" s="8" t="s">
        <v>98</v>
      </c>
    </row>
    <row r="35" spans="1:19" ht="15.75" x14ac:dyDescent="0.25">
      <c r="A35" s="6">
        <f>Questionnaire!A35</f>
        <v>33</v>
      </c>
      <c r="B35" s="8" t="s">
        <v>98</v>
      </c>
      <c r="C35" s="8" t="s">
        <v>98</v>
      </c>
      <c r="D35" s="7" t="s">
        <v>97</v>
      </c>
      <c r="E35" s="8" t="s">
        <v>98</v>
      </c>
      <c r="F35" s="8" t="s">
        <v>98</v>
      </c>
      <c r="G35" s="8" t="s">
        <v>98</v>
      </c>
      <c r="H35" s="7" t="s">
        <v>98</v>
      </c>
      <c r="I35" s="7" t="s">
        <v>97</v>
      </c>
      <c r="J35" s="7" t="s">
        <v>97</v>
      </c>
      <c r="K35" s="7" t="s">
        <v>97</v>
      </c>
      <c r="L35" s="7" t="s">
        <v>97</v>
      </c>
      <c r="M35" s="7" t="s">
        <v>98</v>
      </c>
      <c r="N35" s="8" t="s">
        <v>98</v>
      </c>
      <c r="O35" s="8" t="s">
        <v>98</v>
      </c>
      <c r="P35" s="8" t="s">
        <v>98</v>
      </c>
      <c r="Q35" s="8" t="s">
        <v>98</v>
      </c>
      <c r="R35" s="8" t="s">
        <v>98</v>
      </c>
      <c r="S35" s="8" t="s">
        <v>98</v>
      </c>
    </row>
    <row r="36" spans="1:19" ht="15.75" x14ac:dyDescent="0.25">
      <c r="A36" s="6">
        <f>Questionnaire!A36</f>
        <v>34</v>
      </c>
      <c r="B36" s="8" t="s">
        <v>98</v>
      </c>
      <c r="C36" s="7" t="s">
        <v>97</v>
      </c>
      <c r="D36" s="8" t="s">
        <v>98</v>
      </c>
      <c r="E36" s="8" t="s">
        <v>98</v>
      </c>
      <c r="F36" s="8" t="s">
        <v>98</v>
      </c>
      <c r="G36" s="8" t="s">
        <v>98</v>
      </c>
      <c r="H36" s="8" t="s">
        <v>98</v>
      </c>
      <c r="I36" s="7" t="s">
        <v>97</v>
      </c>
      <c r="J36" s="8" t="s">
        <v>98</v>
      </c>
      <c r="K36" s="7" t="s">
        <v>97</v>
      </c>
      <c r="L36" s="8" t="s">
        <v>98</v>
      </c>
      <c r="M36" s="7" t="s">
        <v>98</v>
      </c>
      <c r="N36" s="8" t="s">
        <v>98</v>
      </c>
      <c r="O36" s="8" t="s">
        <v>98</v>
      </c>
      <c r="P36" s="8" t="s">
        <v>98</v>
      </c>
      <c r="Q36" s="8" t="s">
        <v>98</v>
      </c>
      <c r="R36" s="8" t="s">
        <v>98</v>
      </c>
      <c r="S36" s="8" t="s">
        <v>98</v>
      </c>
    </row>
    <row r="37" spans="1:19" ht="15.75" x14ac:dyDescent="0.25">
      <c r="A37" s="6">
        <f>Questionnaire!A37</f>
        <v>35</v>
      </c>
      <c r="B37" s="8" t="s">
        <v>98</v>
      </c>
      <c r="C37" s="7" t="s">
        <v>97</v>
      </c>
      <c r="D37" s="7" t="s">
        <v>97</v>
      </c>
      <c r="E37" s="8" t="s">
        <v>98</v>
      </c>
      <c r="F37" s="8" t="s">
        <v>98</v>
      </c>
      <c r="G37" s="8" t="s">
        <v>98</v>
      </c>
      <c r="H37" s="8" t="s">
        <v>98</v>
      </c>
      <c r="I37" s="8" t="s">
        <v>98</v>
      </c>
      <c r="J37" s="8" t="s">
        <v>98</v>
      </c>
      <c r="K37" s="8" t="s">
        <v>98</v>
      </c>
      <c r="L37" s="8" t="s">
        <v>98</v>
      </c>
      <c r="M37" s="7" t="s">
        <v>98</v>
      </c>
      <c r="N37" s="8" t="s">
        <v>98</v>
      </c>
      <c r="O37" s="8" t="s">
        <v>98</v>
      </c>
      <c r="P37" s="8" t="s">
        <v>98</v>
      </c>
      <c r="Q37" s="8" t="s">
        <v>98</v>
      </c>
      <c r="R37" s="8" t="s">
        <v>98</v>
      </c>
      <c r="S37" s="8" t="s">
        <v>98</v>
      </c>
    </row>
    <row r="38" spans="1:19" ht="15.75" x14ac:dyDescent="0.25">
      <c r="A38" s="6">
        <f>Questionnaire!A38</f>
        <v>36</v>
      </c>
      <c r="B38" s="8" t="s">
        <v>98</v>
      </c>
      <c r="C38" s="7" t="s">
        <v>97</v>
      </c>
      <c r="D38" s="7" t="s">
        <v>97</v>
      </c>
      <c r="E38" s="8" t="s">
        <v>98</v>
      </c>
      <c r="F38" s="8" t="s">
        <v>98</v>
      </c>
      <c r="G38" s="8" t="s">
        <v>98</v>
      </c>
      <c r="H38" s="8" t="s">
        <v>98</v>
      </c>
      <c r="I38" s="8" t="s">
        <v>98</v>
      </c>
      <c r="J38" s="8" t="s">
        <v>98</v>
      </c>
      <c r="K38" s="8" t="s">
        <v>98</v>
      </c>
      <c r="L38" s="7" t="s">
        <v>97</v>
      </c>
      <c r="M38" s="7" t="s">
        <v>98</v>
      </c>
      <c r="N38" s="8" t="s">
        <v>98</v>
      </c>
      <c r="O38" s="8" t="s">
        <v>98</v>
      </c>
      <c r="P38" s="8" t="s">
        <v>98</v>
      </c>
      <c r="Q38" s="8" t="s">
        <v>98</v>
      </c>
      <c r="R38" s="8" t="s">
        <v>98</v>
      </c>
      <c r="S38" s="8" t="s">
        <v>98</v>
      </c>
    </row>
    <row r="39" spans="1:19" ht="15.75" x14ac:dyDescent="0.25">
      <c r="A39" s="6">
        <f>Questionnaire!A39</f>
        <v>37</v>
      </c>
      <c r="B39" s="8" t="s">
        <v>98</v>
      </c>
      <c r="C39" s="7" t="s">
        <v>97</v>
      </c>
      <c r="D39" s="7" t="s">
        <v>97</v>
      </c>
      <c r="E39" s="8" t="s">
        <v>98</v>
      </c>
      <c r="F39" s="8" t="s">
        <v>98</v>
      </c>
      <c r="G39" s="8" t="s">
        <v>98</v>
      </c>
      <c r="H39" s="8" t="s">
        <v>98</v>
      </c>
      <c r="I39" s="8" t="s">
        <v>98</v>
      </c>
      <c r="J39" s="8" t="s">
        <v>98</v>
      </c>
      <c r="K39" s="7" t="s">
        <v>97</v>
      </c>
      <c r="L39" s="7" t="s">
        <v>97</v>
      </c>
      <c r="M39" s="7" t="s">
        <v>98</v>
      </c>
      <c r="N39" s="8" t="s">
        <v>98</v>
      </c>
      <c r="O39" s="8" t="s">
        <v>98</v>
      </c>
      <c r="P39" s="8" t="s">
        <v>98</v>
      </c>
      <c r="Q39" s="8" t="s">
        <v>98</v>
      </c>
      <c r="R39" s="8" t="s">
        <v>98</v>
      </c>
      <c r="S39" s="8" t="s">
        <v>98</v>
      </c>
    </row>
    <row r="40" spans="1:19" ht="15.75" x14ac:dyDescent="0.25">
      <c r="A40" s="6">
        <f>Questionnaire!A40</f>
        <v>38</v>
      </c>
      <c r="B40" s="8" t="s">
        <v>98</v>
      </c>
      <c r="C40" s="7" t="s">
        <v>97</v>
      </c>
      <c r="D40" s="8" t="s">
        <v>98</v>
      </c>
      <c r="E40" s="8" t="s">
        <v>98</v>
      </c>
      <c r="F40" s="8" t="s">
        <v>98</v>
      </c>
      <c r="G40" s="7" t="s">
        <v>97</v>
      </c>
      <c r="H40" s="8" t="s">
        <v>98</v>
      </c>
      <c r="I40" s="8" t="s">
        <v>98</v>
      </c>
      <c r="J40" s="8" t="s">
        <v>98</v>
      </c>
      <c r="K40" s="8" t="s">
        <v>98</v>
      </c>
      <c r="L40" s="8" t="s">
        <v>98</v>
      </c>
      <c r="M40" s="7" t="s">
        <v>98</v>
      </c>
      <c r="N40" s="8" t="s">
        <v>98</v>
      </c>
      <c r="O40" s="8" t="s">
        <v>98</v>
      </c>
      <c r="P40" s="8" t="s">
        <v>98</v>
      </c>
      <c r="Q40" s="8" t="s">
        <v>98</v>
      </c>
      <c r="R40" s="8" t="s">
        <v>98</v>
      </c>
      <c r="S40" s="8" t="s">
        <v>98</v>
      </c>
    </row>
    <row r="41" spans="1:19" ht="15.75" x14ac:dyDescent="0.25">
      <c r="A41" s="6">
        <f>Questionnaire!A41</f>
        <v>39</v>
      </c>
      <c r="B41" s="8" t="s">
        <v>98</v>
      </c>
      <c r="C41" s="8" t="s">
        <v>98</v>
      </c>
      <c r="D41" s="8" t="s">
        <v>98</v>
      </c>
      <c r="E41" s="8" t="s">
        <v>98</v>
      </c>
      <c r="F41" s="8" t="s">
        <v>98</v>
      </c>
      <c r="G41" s="7" t="s">
        <v>97</v>
      </c>
      <c r="H41" s="7" t="s">
        <v>97</v>
      </c>
      <c r="I41" s="8" t="s">
        <v>98</v>
      </c>
      <c r="J41" s="8" t="s">
        <v>98</v>
      </c>
      <c r="K41" s="8" t="s">
        <v>98</v>
      </c>
      <c r="L41" s="7" t="s">
        <v>97</v>
      </c>
      <c r="M41" s="7" t="s">
        <v>98</v>
      </c>
      <c r="N41" s="8" t="s">
        <v>98</v>
      </c>
      <c r="O41" s="8" t="s">
        <v>98</v>
      </c>
      <c r="P41" s="8" t="s">
        <v>98</v>
      </c>
      <c r="Q41" s="8" t="s">
        <v>98</v>
      </c>
      <c r="R41" s="8" t="s">
        <v>98</v>
      </c>
      <c r="S41" s="7" t="s">
        <v>97</v>
      </c>
    </row>
    <row r="42" spans="1:19" ht="15.75" x14ac:dyDescent="0.25">
      <c r="A42" s="6">
        <f>Questionnaire!A42</f>
        <v>40</v>
      </c>
      <c r="B42" s="8" t="s">
        <v>98</v>
      </c>
      <c r="C42" s="7" t="s">
        <v>97</v>
      </c>
      <c r="D42" s="7" t="s">
        <v>97</v>
      </c>
      <c r="E42" s="8" t="s">
        <v>98</v>
      </c>
      <c r="F42" s="8" t="s">
        <v>98</v>
      </c>
      <c r="G42" s="8" t="s">
        <v>98</v>
      </c>
      <c r="H42" s="7" t="s">
        <v>97</v>
      </c>
      <c r="I42" s="8" t="s">
        <v>98</v>
      </c>
      <c r="J42" s="8" t="s">
        <v>98</v>
      </c>
      <c r="K42" s="8" t="s">
        <v>98</v>
      </c>
      <c r="L42" s="8" t="s">
        <v>98</v>
      </c>
      <c r="M42" s="7" t="s">
        <v>98</v>
      </c>
      <c r="N42" s="8" t="s">
        <v>98</v>
      </c>
      <c r="O42" s="8" t="s">
        <v>98</v>
      </c>
      <c r="P42" s="8" t="s">
        <v>98</v>
      </c>
      <c r="Q42" s="8" t="s">
        <v>98</v>
      </c>
      <c r="R42" s="8" t="s">
        <v>98</v>
      </c>
      <c r="S42" s="7" t="s">
        <v>97</v>
      </c>
    </row>
    <row r="43" spans="1:19" ht="15.75" x14ac:dyDescent="0.25">
      <c r="A43" s="6">
        <f>Questionnaire!A43</f>
        <v>41</v>
      </c>
      <c r="B43" s="8" t="s">
        <v>98</v>
      </c>
      <c r="C43" s="7" t="s">
        <v>97</v>
      </c>
      <c r="D43" s="7" t="s">
        <v>97</v>
      </c>
      <c r="E43" s="8" t="s">
        <v>98</v>
      </c>
      <c r="F43" s="8" t="s">
        <v>98</v>
      </c>
      <c r="G43" s="8" t="s">
        <v>98</v>
      </c>
      <c r="H43" s="8" t="s">
        <v>98</v>
      </c>
      <c r="I43" s="7" t="s">
        <v>97</v>
      </c>
      <c r="J43" s="8" t="s">
        <v>98</v>
      </c>
      <c r="K43" s="8" t="s">
        <v>98</v>
      </c>
      <c r="L43" s="8" t="s">
        <v>98</v>
      </c>
      <c r="M43" s="7" t="s">
        <v>98</v>
      </c>
      <c r="N43" s="8" t="s">
        <v>98</v>
      </c>
      <c r="O43" s="8" t="s">
        <v>98</v>
      </c>
      <c r="P43" s="8" t="s">
        <v>98</v>
      </c>
      <c r="Q43" s="8" t="s">
        <v>98</v>
      </c>
      <c r="R43" s="8" t="s">
        <v>98</v>
      </c>
      <c r="S43" s="8" t="s">
        <v>98</v>
      </c>
    </row>
    <row r="44" spans="1:19" ht="15.75" x14ac:dyDescent="0.25">
      <c r="A44" s="6">
        <f>Questionnaire!A44</f>
        <v>42</v>
      </c>
      <c r="B44" s="8" t="s">
        <v>98</v>
      </c>
      <c r="C44" s="7" t="s">
        <v>97</v>
      </c>
      <c r="D44" s="8" t="s">
        <v>98</v>
      </c>
      <c r="E44" s="8" t="s">
        <v>98</v>
      </c>
      <c r="F44" s="8" t="s">
        <v>98</v>
      </c>
      <c r="G44" s="8" t="s">
        <v>98</v>
      </c>
      <c r="H44" s="8" t="s">
        <v>98</v>
      </c>
      <c r="I44" s="7" t="s">
        <v>97</v>
      </c>
      <c r="J44" s="8" t="s">
        <v>98</v>
      </c>
      <c r="K44" s="7" t="s">
        <v>97</v>
      </c>
      <c r="L44" s="7" t="s">
        <v>97</v>
      </c>
      <c r="M44" s="7" t="s">
        <v>98</v>
      </c>
      <c r="N44" s="8" t="s">
        <v>98</v>
      </c>
      <c r="O44" s="8" t="s">
        <v>98</v>
      </c>
      <c r="P44" s="8" t="s">
        <v>98</v>
      </c>
      <c r="Q44" s="8" t="s">
        <v>98</v>
      </c>
      <c r="R44" s="8" t="s">
        <v>98</v>
      </c>
      <c r="S44" s="8" t="s">
        <v>98</v>
      </c>
    </row>
    <row r="45" spans="1:19" ht="15.75" x14ac:dyDescent="0.25">
      <c r="A45" s="6">
        <f>Questionnaire!A45</f>
        <v>43</v>
      </c>
      <c r="B45" s="8" t="s">
        <v>98</v>
      </c>
      <c r="C45" s="7" t="s">
        <v>97</v>
      </c>
      <c r="D45" s="8" t="s">
        <v>98</v>
      </c>
      <c r="E45" s="8" t="s">
        <v>98</v>
      </c>
      <c r="F45" s="8" t="s">
        <v>98</v>
      </c>
      <c r="G45" s="8" t="s">
        <v>98</v>
      </c>
      <c r="H45" s="8" t="s">
        <v>98</v>
      </c>
      <c r="I45" s="7" t="s">
        <v>97</v>
      </c>
      <c r="J45" s="8" t="s">
        <v>98</v>
      </c>
      <c r="K45" s="7" t="s">
        <v>97</v>
      </c>
      <c r="L45" s="7" t="s">
        <v>97</v>
      </c>
      <c r="M45" s="7" t="s">
        <v>98</v>
      </c>
      <c r="N45" s="8" t="s">
        <v>98</v>
      </c>
      <c r="O45" s="8" t="s">
        <v>98</v>
      </c>
      <c r="P45" s="8" t="s">
        <v>98</v>
      </c>
      <c r="Q45" s="8" t="s">
        <v>98</v>
      </c>
      <c r="R45" s="8" t="s">
        <v>98</v>
      </c>
      <c r="S45" s="7" t="s">
        <v>97</v>
      </c>
    </row>
    <row r="46" spans="1:19" ht="15.75" x14ac:dyDescent="0.25">
      <c r="A46" s="6">
        <f>Questionnaire!A46</f>
        <v>44</v>
      </c>
      <c r="B46" s="8" t="s">
        <v>98</v>
      </c>
      <c r="C46" s="7" t="s">
        <v>97</v>
      </c>
      <c r="D46" s="7" t="s">
        <v>97</v>
      </c>
      <c r="E46" s="8" t="s">
        <v>98</v>
      </c>
      <c r="F46" s="8" t="s">
        <v>98</v>
      </c>
      <c r="G46" s="8" t="s">
        <v>98</v>
      </c>
      <c r="H46" s="7" t="s">
        <v>97</v>
      </c>
      <c r="I46" s="8" t="s">
        <v>98</v>
      </c>
      <c r="J46" s="7" t="s">
        <v>97</v>
      </c>
      <c r="K46" s="8" t="s">
        <v>98</v>
      </c>
      <c r="L46" s="7" t="s">
        <v>97</v>
      </c>
      <c r="M46" s="7" t="s">
        <v>98</v>
      </c>
      <c r="N46" s="8" t="s">
        <v>98</v>
      </c>
      <c r="O46" s="8" t="s">
        <v>98</v>
      </c>
      <c r="P46" s="8" t="s">
        <v>98</v>
      </c>
      <c r="Q46" s="8" t="s">
        <v>98</v>
      </c>
      <c r="R46" s="8" t="s">
        <v>98</v>
      </c>
      <c r="S46" s="8" t="s">
        <v>98</v>
      </c>
    </row>
    <row r="47" spans="1:19" ht="15.75" x14ac:dyDescent="0.25">
      <c r="A47" s="6">
        <f>Questionnaire!A47</f>
        <v>45</v>
      </c>
      <c r="B47" s="8" t="s">
        <v>98</v>
      </c>
      <c r="C47" s="7" t="s">
        <v>97</v>
      </c>
      <c r="D47" s="8" t="s">
        <v>98</v>
      </c>
      <c r="E47" s="8" t="s">
        <v>98</v>
      </c>
      <c r="F47" s="8" t="s">
        <v>98</v>
      </c>
      <c r="G47" s="8" t="s">
        <v>98</v>
      </c>
      <c r="H47" s="8" t="s">
        <v>98</v>
      </c>
      <c r="I47" s="7" t="s">
        <v>97</v>
      </c>
      <c r="J47" s="8" t="s">
        <v>98</v>
      </c>
      <c r="K47" s="8" t="s">
        <v>98</v>
      </c>
      <c r="L47" s="7" t="s">
        <v>97</v>
      </c>
      <c r="M47" s="7" t="s">
        <v>98</v>
      </c>
      <c r="N47" s="8" t="s">
        <v>98</v>
      </c>
      <c r="O47" s="8" t="s">
        <v>98</v>
      </c>
      <c r="P47" s="8" t="s">
        <v>98</v>
      </c>
      <c r="Q47" s="8" t="s">
        <v>98</v>
      </c>
      <c r="R47" s="8" t="s">
        <v>98</v>
      </c>
      <c r="S47" s="8" t="s">
        <v>98</v>
      </c>
    </row>
    <row r="48" spans="1:19" ht="15.75" x14ac:dyDescent="0.25">
      <c r="A48" s="6">
        <f>Questionnaire!A48</f>
        <v>46</v>
      </c>
      <c r="B48" s="8" t="s">
        <v>98</v>
      </c>
      <c r="C48" s="7" t="s">
        <v>97</v>
      </c>
      <c r="D48" s="8" t="s">
        <v>98</v>
      </c>
      <c r="E48" s="8" t="s">
        <v>98</v>
      </c>
      <c r="F48" s="8" t="s">
        <v>98</v>
      </c>
      <c r="G48" s="8" t="s">
        <v>98</v>
      </c>
      <c r="H48" s="8" t="s">
        <v>98</v>
      </c>
      <c r="I48" s="7" t="s">
        <v>97</v>
      </c>
      <c r="J48" s="8" t="s">
        <v>98</v>
      </c>
      <c r="K48" s="7" t="s">
        <v>97</v>
      </c>
      <c r="L48" s="8" t="s">
        <v>98</v>
      </c>
      <c r="M48" s="7" t="s">
        <v>98</v>
      </c>
      <c r="N48" s="8" t="s">
        <v>98</v>
      </c>
      <c r="O48" s="7" t="s">
        <v>97</v>
      </c>
      <c r="P48" s="8" t="s">
        <v>98</v>
      </c>
      <c r="Q48" s="8" t="s">
        <v>98</v>
      </c>
      <c r="R48" s="8" t="s">
        <v>98</v>
      </c>
      <c r="S48" s="8" t="s">
        <v>98</v>
      </c>
    </row>
    <row r="49" spans="1:19" ht="15.75" x14ac:dyDescent="0.25">
      <c r="A49" s="6">
        <f>Questionnaire!A49</f>
        <v>47</v>
      </c>
      <c r="B49" s="8" t="s">
        <v>98</v>
      </c>
      <c r="C49" s="8" t="s">
        <v>98</v>
      </c>
      <c r="D49" s="8" t="s">
        <v>98</v>
      </c>
      <c r="E49" s="8" t="s">
        <v>98</v>
      </c>
      <c r="F49" s="8" t="s">
        <v>98</v>
      </c>
      <c r="G49" s="7" t="s">
        <v>97</v>
      </c>
      <c r="H49" s="7" t="s">
        <v>97</v>
      </c>
      <c r="I49" s="8" t="s">
        <v>98</v>
      </c>
      <c r="J49" s="8" t="s">
        <v>98</v>
      </c>
      <c r="K49" s="7" t="s">
        <v>97</v>
      </c>
      <c r="L49" s="7" t="s">
        <v>97</v>
      </c>
      <c r="M49" s="7" t="s">
        <v>98</v>
      </c>
      <c r="N49" s="8" t="s">
        <v>98</v>
      </c>
      <c r="O49" s="8" t="s">
        <v>98</v>
      </c>
      <c r="P49" s="8" t="s">
        <v>98</v>
      </c>
      <c r="Q49" s="8" t="s">
        <v>98</v>
      </c>
      <c r="R49" s="8" t="s">
        <v>98</v>
      </c>
      <c r="S49" s="8" t="s">
        <v>98</v>
      </c>
    </row>
    <row r="50" spans="1:19" ht="15.75" x14ac:dyDescent="0.25">
      <c r="A50" s="6">
        <f>Questionnaire!A50</f>
        <v>48</v>
      </c>
      <c r="B50" s="8" t="s">
        <v>98</v>
      </c>
      <c r="C50" s="7" t="s">
        <v>97</v>
      </c>
      <c r="D50" s="8" t="s">
        <v>98</v>
      </c>
      <c r="E50" s="8" t="s">
        <v>98</v>
      </c>
      <c r="F50" s="8" t="s">
        <v>98</v>
      </c>
      <c r="G50" s="8" t="s">
        <v>98</v>
      </c>
      <c r="H50" s="7" t="s">
        <v>97</v>
      </c>
      <c r="I50" s="7" t="s">
        <v>97</v>
      </c>
      <c r="J50" s="8" t="s">
        <v>98</v>
      </c>
      <c r="K50" s="7" t="s">
        <v>97</v>
      </c>
      <c r="L50" s="8" t="s">
        <v>98</v>
      </c>
      <c r="M50" s="7" t="s">
        <v>98</v>
      </c>
      <c r="N50" s="8" t="s">
        <v>98</v>
      </c>
      <c r="O50" s="8" t="s">
        <v>98</v>
      </c>
      <c r="P50" s="8" t="s">
        <v>98</v>
      </c>
      <c r="Q50" s="8" t="s">
        <v>98</v>
      </c>
      <c r="R50" s="8" t="s">
        <v>98</v>
      </c>
      <c r="S50" s="7" t="s">
        <v>97</v>
      </c>
    </row>
    <row r="51" spans="1:19" ht="15.75" x14ac:dyDescent="0.25">
      <c r="A51" s="6">
        <f>Questionnaire!A51</f>
        <v>49</v>
      </c>
      <c r="B51" s="8" t="s">
        <v>98</v>
      </c>
      <c r="C51" s="7" t="s">
        <v>97</v>
      </c>
      <c r="D51" s="8" t="s">
        <v>98</v>
      </c>
      <c r="E51" s="8" t="s">
        <v>98</v>
      </c>
      <c r="F51" s="8" t="s">
        <v>98</v>
      </c>
      <c r="G51" s="8" t="s">
        <v>98</v>
      </c>
      <c r="H51" s="8" t="s">
        <v>98</v>
      </c>
      <c r="I51" s="8" t="s">
        <v>98</v>
      </c>
      <c r="J51" s="7" t="s">
        <v>97</v>
      </c>
      <c r="K51" s="8" t="s">
        <v>98</v>
      </c>
      <c r="L51" s="7" t="s">
        <v>97</v>
      </c>
      <c r="M51" s="7" t="s">
        <v>98</v>
      </c>
      <c r="N51" s="8" t="s">
        <v>98</v>
      </c>
      <c r="O51" s="8" t="s">
        <v>98</v>
      </c>
      <c r="P51" s="8" t="s">
        <v>98</v>
      </c>
      <c r="Q51" s="8" t="s">
        <v>98</v>
      </c>
      <c r="R51" s="8" t="s">
        <v>98</v>
      </c>
      <c r="S51" s="8" t="s">
        <v>98</v>
      </c>
    </row>
    <row r="52" spans="1:19" ht="15.75" x14ac:dyDescent="0.25">
      <c r="A52" s="6">
        <f>Questionnaire!A52</f>
        <v>50</v>
      </c>
      <c r="B52" s="8" t="s">
        <v>98</v>
      </c>
      <c r="C52" s="7" t="s">
        <v>97</v>
      </c>
      <c r="D52" s="8" t="s">
        <v>98</v>
      </c>
      <c r="E52" s="8" t="s">
        <v>98</v>
      </c>
      <c r="F52" s="8" t="s">
        <v>98</v>
      </c>
      <c r="G52" s="8" t="s">
        <v>98</v>
      </c>
      <c r="H52" s="8" t="s">
        <v>98</v>
      </c>
      <c r="I52" s="8" t="s">
        <v>98</v>
      </c>
      <c r="J52" s="8" t="s">
        <v>98</v>
      </c>
      <c r="K52" s="8" t="s">
        <v>98</v>
      </c>
      <c r="L52" s="8" t="s">
        <v>98</v>
      </c>
      <c r="M52" s="7" t="s">
        <v>98</v>
      </c>
      <c r="N52" s="8" t="s">
        <v>98</v>
      </c>
      <c r="O52" s="8" t="s">
        <v>98</v>
      </c>
      <c r="P52" s="8" t="s">
        <v>98</v>
      </c>
      <c r="Q52" s="8" t="s">
        <v>98</v>
      </c>
      <c r="R52" s="8" t="s">
        <v>98</v>
      </c>
      <c r="S52" s="8" t="s">
        <v>98</v>
      </c>
    </row>
    <row r="53" spans="1:19" ht="15.75" x14ac:dyDescent="0.25">
      <c r="A53" s="6">
        <f>Questionnaire!A53</f>
        <v>51</v>
      </c>
      <c r="B53" s="8" t="s">
        <v>98</v>
      </c>
      <c r="C53" s="7" t="s">
        <v>97</v>
      </c>
      <c r="D53" s="8" t="s">
        <v>98</v>
      </c>
      <c r="E53" s="8" t="s">
        <v>98</v>
      </c>
      <c r="F53" s="8" t="s">
        <v>98</v>
      </c>
      <c r="G53" s="8" t="s">
        <v>98</v>
      </c>
      <c r="H53" s="8" t="s">
        <v>98</v>
      </c>
      <c r="I53" s="7" t="s">
        <v>97</v>
      </c>
      <c r="J53" s="8" t="s">
        <v>98</v>
      </c>
      <c r="K53" s="8" t="s">
        <v>98</v>
      </c>
      <c r="L53" s="8" t="s">
        <v>98</v>
      </c>
      <c r="M53" s="7" t="s">
        <v>98</v>
      </c>
      <c r="N53" s="8" t="s">
        <v>98</v>
      </c>
      <c r="O53" s="8" t="s">
        <v>98</v>
      </c>
      <c r="P53" s="8" t="s">
        <v>98</v>
      </c>
      <c r="Q53" s="8" t="s">
        <v>98</v>
      </c>
      <c r="R53" s="8" t="s">
        <v>98</v>
      </c>
      <c r="S53" s="8" t="s">
        <v>98</v>
      </c>
    </row>
    <row r="54" spans="1:19" ht="15.75" x14ac:dyDescent="0.25">
      <c r="A54" s="6">
        <f>Questionnaire!A54</f>
        <v>52</v>
      </c>
      <c r="B54" s="8" t="s">
        <v>98</v>
      </c>
      <c r="C54" s="7" t="s">
        <v>97</v>
      </c>
      <c r="D54" s="8" t="s">
        <v>98</v>
      </c>
      <c r="E54" s="8" t="s">
        <v>98</v>
      </c>
      <c r="F54" s="8" t="s">
        <v>98</v>
      </c>
      <c r="G54" s="8" t="s">
        <v>98</v>
      </c>
      <c r="H54" s="7" t="s">
        <v>97</v>
      </c>
      <c r="I54" s="8" t="s">
        <v>98</v>
      </c>
      <c r="J54" s="8" t="s">
        <v>98</v>
      </c>
      <c r="K54" s="7" t="s">
        <v>97</v>
      </c>
      <c r="L54" s="7" t="s">
        <v>97</v>
      </c>
      <c r="M54" s="7" t="s">
        <v>98</v>
      </c>
      <c r="N54" s="8" t="s">
        <v>98</v>
      </c>
      <c r="O54" s="8" t="s">
        <v>98</v>
      </c>
      <c r="P54" s="8" t="s">
        <v>98</v>
      </c>
      <c r="Q54" s="8" t="s">
        <v>98</v>
      </c>
      <c r="R54" s="8" t="s">
        <v>98</v>
      </c>
      <c r="S54" s="8" t="s">
        <v>98</v>
      </c>
    </row>
    <row r="55" spans="1:19" ht="15.75" x14ac:dyDescent="0.25">
      <c r="A55" s="6">
        <f>Questionnaire!A55</f>
        <v>53</v>
      </c>
      <c r="B55" s="8" t="s">
        <v>98</v>
      </c>
      <c r="C55" s="7" t="s">
        <v>97</v>
      </c>
      <c r="D55" s="8" t="s">
        <v>98</v>
      </c>
      <c r="E55" s="8" t="s">
        <v>98</v>
      </c>
      <c r="F55" s="8" t="s">
        <v>98</v>
      </c>
      <c r="G55" s="7" t="s">
        <v>97</v>
      </c>
      <c r="H55" s="7" t="s">
        <v>97</v>
      </c>
      <c r="I55" s="8" t="s">
        <v>98</v>
      </c>
      <c r="J55" s="8" t="s">
        <v>98</v>
      </c>
      <c r="K55" s="8" t="s">
        <v>98</v>
      </c>
      <c r="L55" s="8" t="s">
        <v>98</v>
      </c>
      <c r="M55" s="7" t="s">
        <v>98</v>
      </c>
      <c r="N55" s="8" t="s">
        <v>98</v>
      </c>
      <c r="O55" s="8" t="s">
        <v>98</v>
      </c>
      <c r="P55" s="8" t="s">
        <v>98</v>
      </c>
      <c r="Q55" s="8" t="s">
        <v>98</v>
      </c>
      <c r="R55" s="8" t="s">
        <v>98</v>
      </c>
      <c r="S55" s="7" t="s">
        <v>97</v>
      </c>
    </row>
    <row r="56" spans="1:19" ht="15.75" x14ac:dyDescent="0.25">
      <c r="A56" s="6">
        <f>Questionnaire!A56</f>
        <v>54</v>
      </c>
      <c r="B56" s="8" t="s">
        <v>98</v>
      </c>
      <c r="C56" s="7" t="s">
        <v>97</v>
      </c>
      <c r="D56" s="8" t="s">
        <v>98</v>
      </c>
      <c r="E56" s="8" t="s">
        <v>98</v>
      </c>
      <c r="F56" s="8" t="s">
        <v>98</v>
      </c>
      <c r="G56" s="8" t="s">
        <v>98</v>
      </c>
      <c r="H56" s="7" t="s">
        <v>97</v>
      </c>
      <c r="I56" s="8" t="s">
        <v>98</v>
      </c>
      <c r="J56" s="7" t="s">
        <v>97</v>
      </c>
      <c r="K56" s="7" t="s">
        <v>97</v>
      </c>
      <c r="L56" s="8" t="s">
        <v>98</v>
      </c>
      <c r="M56" s="7" t="s">
        <v>98</v>
      </c>
      <c r="N56" s="8" t="s">
        <v>98</v>
      </c>
      <c r="O56" s="8" t="s">
        <v>98</v>
      </c>
      <c r="P56" s="8" t="s">
        <v>98</v>
      </c>
      <c r="Q56" s="8" t="s">
        <v>98</v>
      </c>
      <c r="R56" s="8" t="s">
        <v>98</v>
      </c>
      <c r="S56" s="8" t="s">
        <v>98</v>
      </c>
    </row>
    <row r="57" spans="1:19" ht="15.75" x14ac:dyDescent="0.25">
      <c r="A57" s="6">
        <f>Questionnaire!A57</f>
        <v>55</v>
      </c>
      <c r="B57" s="8" t="s">
        <v>98</v>
      </c>
      <c r="C57" s="8" t="s">
        <v>98</v>
      </c>
      <c r="D57" s="8" t="s">
        <v>98</v>
      </c>
      <c r="E57" s="8" t="s">
        <v>98</v>
      </c>
      <c r="F57" s="8" t="s">
        <v>98</v>
      </c>
      <c r="G57" s="7" t="s">
        <v>97</v>
      </c>
      <c r="H57" s="8" t="s">
        <v>98</v>
      </c>
      <c r="I57" s="7" t="s">
        <v>97</v>
      </c>
      <c r="J57" s="7" t="s">
        <v>97</v>
      </c>
      <c r="K57" s="7" t="s">
        <v>97</v>
      </c>
      <c r="L57" s="8" t="s">
        <v>98</v>
      </c>
      <c r="M57" s="7" t="s">
        <v>98</v>
      </c>
      <c r="N57" s="8" t="s">
        <v>98</v>
      </c>
      <c r="O57" s="8" t="s">
        <v>98</v>
      </c>
      <c r="P57" s="8" t="s">
        <v>98</v>
      </c>
      <c r="Q57" s="8" t="s">
        <v>98</v>
      </c>
      <c r="R57" s="8" t="s">
        <v>98</v>
      </c>
      <c r="S57" s="8" t="s">
        <v>98</v>
      </c>
    </row>
    <row r="58" spans="1:19" ht="15.75" x14ac:dyDescent="0.25">
      <c r="A58" s="6">
        <f>Questionnaire!A58</f>
        <v>56</v>
      </c>
      <c r="B58" s="8" t="s">
        <v>98</v>
      </c>
      <c r="C58" s="8" t="s">
        <v>98</v>
      </c>
      <c r="D58" s="8" t="s">
        <v>98</v>
      </c>
      <c r="E58" s="8" t="s">
        <v>98</v>
      </c>
      <c r="F58" s="8" t="s">
        <v>98</v>
      </c>
      <c r="G58" s="7" t="s">
        <v>97</v>
      </c>
      <c r="H58" s="8" t="s">
        <v>98</v>
      </c>
      <c r="I58" s="8" t="s">
        <v>98</v>
      </c>
      <c r="J58" s="8" t="s">
        <v>98</v>
      </c>
      <c r="K58" s="8" t="s">
        <v>98</v>
      </c>
      <c r="L58" s="8" t="s">
        <v>98</v>
      </c>
      <c r="M58" s="7" t="s">
        <v>98</v>
      </c>
      <c r="N58" s="8" t="s">
        <v>98</v>
      </c>
      <c r="O58" s="8" t="s">
        <v>98</v>
      </c>
      <c r="P58" s="8" t="s">
        <v>98</v>
      </c>
      <c r="Q58" s="8" t="s">
        <v>98</v>
      </c>
      <c r="R58" s="8" t="s">
        <v>98</v>
      </c>
      <c r="S58" s="8" t="s">
        <v>98</v>
      </c>
    </row>
    <row r="59" spans="1:19" ht="15.75" x14ac:dyDescent="0.25">
      <c r="A59" s="6">
        <f>Questionnaire!A59</f>
        <v>57</v>
      </c>
      <c r="B59" s="8" t="s">
        <v>98</v>
      </c>
      <c r="C59" s="7" t="s">
        <v>97</v>
      </c>
      <c r="D59" s="8" t="s">
        <v>98</v>
      </c>
      <c r="E59" s="8" t="s">
        <v>98</v>
      </c>
      <c r="F59" s="8" t="s">
        <v>98</v>
      </c>
      <c r="G59" s="8" t="s">
        <v>98</v>
      </c>
      <c r="H59" s="7" t="s">
        <v>97</v>
      </c>
      <c r="I59" s="8" t="s">
        <v>98</v>
      </c>
      <c r="J59" s="8" t="s">
        <v>98</v>
      </c>
      <c r="K59" s="8" t="s">
        <v>98</v>
      </c>
      <c r="L59" s="8" t="s">
        <v>98</v>
      </c>
      <c r="M59" s="7" t="s">
        <v>98</v>
      </c>
      <c r="N59" s="8" t="s">
        <v>98</v>
      </c>
      <c r="O59" s="8" t="s">
        <v>98</v>
      </c>
      <c r="P59" s="8" t="s">
        <v>98</v>
      </c>
      <c r="Q59" s="8" t="s">
        <v>98</v>
      </c>
      <c r="R59" s="8" t="s">
        <v>98</v>
      </c>
      <c r="S59" s="8" t="s">
        <v>98</v>
      </c>
    </row>
    <row r="60" spans="1:19" ht="15.75" x14ac:dyDescent="0.25">
      <c r="A60" s="6">
        <f>Questionnaire!A60</f>
        <v>58</v>
      </c>
      <c r="B60" s="8" t="s">
        <v>98</v>
      </c>
      <c r="C60" s="7" t="s">
        <v>97</v>
      </c>
      <c r="D60" s="8" t="s">
        <v>98</v>
      </c>
      <c r="E60" s="8" t="s">
        <v>98</v>
      </c>
      <c r="F60" s="8" t="s">
        <v>98</v>
      </c>
      <c r="G60" s="8" t="s">
        <v>98</v>
      </c>
      <c r="H60" s="8" t="s">
        <v>98</v>
      </c>
      <c r="I60" s="8" t="s">
        <v>98</v>
      </c>
      <c r="J60" s="7" t="s">
        <v>97</v>
      </c>
      <c r="K60" s="7" t="s">
        <v>97</v>
      </c>
      <c r="L60" s="8" t="s">
        <v>98</v>
      </c>
      <c r="M60" s="7" t="s">
        <v>98</v>
      </c>
      <c r="N60" s="8" t="s">
        <v>98</v>
      </c>
      <c r="O60" s="8" t="s">
        <v>98</v>
      </c>
      <c r="P60" s="8" t="s">
        <v>98</v>
      </c>
      <c r="Q60" s="8" t="s">
        <v>98</v>
      </c>
      <c r="R60" s="8" t="s">
        <v>98</v>
      </c>
      <c r="S60" s="8" t="s">
        <v>98</v>
      </c>
    </row>
    <row r="61" spans="1:19" ht="15.75" x14ac:dyDescent="0.25">
      <c r="A61" s="6">
        <f>Questionnaire!A61</f>
        <v>59</v>
      </c>
      <c r="B61" s="8" t="s">
        <v>98</v>
      </c>
      <c r="C61" s="7" t="s">
        <v>97</v>
      </c>
      <c r="D61" s="7" t="s">
        <v>97</v>
      </c>
      <c r="E61" s="8" t="s">
        <v>98</v>
      </c>
      <c r="F61" s="8" t="s">
        <v>98</v>
      </c>
      <c r="G61" s="8" t="s">
        <v>98</v>
      </c>
      <c r="H61" s="8" t="s">
        <v>98</v>
      </c>
      <c r="I61" s="8" t="s">
        <v>98</v>
      </c>
      <c r="J61" s="8" t="s">
        <v>98</v>
      </c>
      <c r="K61" s="8" t="s">
        <v>98</v>
      </c>
      <c r="L61" s="8" t="s">
        <v>98</v>
      </c>
      <c r="M61" s="7" t="s">
        <v>98</v>
      </c>
      <c r="N61" s="8" t="s">
        <v>98</v>
      </c>
      <c r="O61" s="8" t="s">
        <v>98</v>
      </c>
      <c r="P61" s="8" t="s">
        <v>98</v>
      </c>
      <c r="Q61" s="8" t="s">
        <v>98</v>
      </c>
      <c r="R61" s="8" t="s">
        <v>98</v>
      </c>
      <c r="S61" s="8" t="s">
        <v>98</v>
      </c>
    </row>
    <row r="62" spans="1:19" ht="15.75" x14ac:dyDescent="0.25">
      <c r="A62" s="6">
        <f>Questionnaire!A62</f>
        <v>60</v>
      </c>
      <c r="B62" s="8" t="s">
        <v>98</v>
      </c>
      <c r="C62" s="7" t="s">
        <v>97</v>
      </c>
      <c r="D62" s="8" t="s">
        <v>98</v>
      </c>
      <c r="E62" s="8" t="s">
        <v>98</v>
      </c>
      <c r="F62" s="7" t="s">
        <v>97</v>
      </c>
      <c r="G62" s="8" t="s">
        <v>98</v>
      </c>
      <c r="H62" s="7" t="s">
        <v>97</v>
      </c>
      <c r="I62" s="8" t="s">
        <v>98</v>
      </c>
      <c r="J62" s="7" t="s">
        <v>97</v>
      </c>
      <c r="K62" s="8" t="s">
        <v>98</v>
      </c>
      <c r="L62" s="8" t="s">
        <v>98</v>
      </c>
      <c r="M62" s="7" t="s">
        <v>98</v>
      </c>
      <c r="N62" s="8" t="s">
        <v>98</v>
      </c>
      <c r="O62" s="8" t="s">
        <v>98</v>
      </c>
      <c r="P62" s="8" t="s">
        <v>98</v>
      </c>
      <c r="Q62" s="8" t="s">
        <v>98</v>
      </c>
      <c r="R62" s="8" t="s">
        <v>98</v>
      </c>
      <c r="S62" s="8" t="s">
        <v>98</v>
      </c>
    </row>
    <row r="63" spans="1:19" ht="15.75" x14ac:dyDescent="0.25">
      <c r="A63" s="6">
        <f>Questionnaire!A63</f>
        <v>61</v>
      </c>
      <c r="B63" s="8" t="s">
        <v>98</v>
      </c>
      <c r="C63" s="7" t="s">
        <v>97</v>
      </c>
      <c r="D63" s="7" t="s">
        <v>97</v>
      </c>
      <c r="E63" s="8" t="s">
        <v>98</v>
      </c>
      <c r="F63" s="8" t="s">
        <v>98</v>
      </c>
      <c r="G63" s="8" t="s">
        <v>98</v>
      </c>
      <c r="H63" s="8" t="s">
        <v>98</v>
      </c>
      <c r="I63" s="8" t="s">
        <v>98</v>
      </c>
      <c r="J63" s="8" t="s">
        <v>98</v>
      </c>
      <c r="K63" s="8" t="s">
        <v>98</v>
      </c>
      <c r="L63" s="8" t="s">
        <v>98</v>
      </c>
      <c r="M63" s="7" t="s">
        <v>98</v>
      </c>
      <c r="N63" s="8" t="s">
        <v>98</v>
      </c>
      <c r="O63" s="8" t="s">
        <v>98</v>
      </c>
      <c r="P63" s="8" t="s">
        <v>98</v>
      </c>
      <c r="Q63" s="8" t="s">
        <v>98</v>
      </c>
      <c r="R63" s="8" t="s">
        <v>98</v>
      </c>
      <c r="S63" s="8" t="s">
        <v>98</v>
      </c>
    </row>
    <row r="64" spans="1:19" ht="15.75" x14ac:dyDescent="0.25">
      <c r="A64" s="6">
        <f>Questionnaire!A64</f>
        <v>62</v>
      </c>
      <c r="B64" s="8" t="s">
        <v>98</v>
      </c>
      <c r="C64" s="8" t="s">
        <v>98</v>
      </c>
      <c r="D64" s="8" t="s">
        <v>98</v>
      </c>
      <c r="E64" s="8" t="s">
        <v>98</v>
      </c>
      <c r="F64" s="8" t="s">
        <v>98</v>
      </c>
      <c r="G64" s="7" t="s">
        <v>97</v>
      </c>
      <c r="H64" s="8" t="s">
        <v>98</v>
      </c>
      <c r="I64" s="7" t="s">
        <v>97</v>
      </c>
      <c r="J64" s="7" t="s">
        <v>97</v>
      </c>
      <c r="K64" s="8" t="s">
        <v>98</v>
      </c>
      <c r="L64" s="7" t="s">
        <v>97</v>
      </c>
      <c r="M64" s="7" t="s">
        <v>98</v>
      </c>
      <c r="N64" s="8" t="s">
        <v>98</v>
      </c>
      <c r="O64" s="8" t="s">
        <v>98</v>
      </c>
      <c r="P64" s="8" t="s">
        <v>98</v>
      </c>
      <c r="Q64" s="8" t="s">
        <v>98</v>
      </c>
      <c r="R64" s="8" t="s">
        <v>98</v>
      </c>
      <c r="S64" s="8" t="s">
        <v>98</v>
      </c>
    </row>
    <row r="65" spans="1:19" ht="15.75" x14ac:dyDescent="0.25">
      <c r="A65" s="6">
        <f>Questionnaire!A65</f>
        <v>63</v>
      </c>
      <c r="B65" s="8" t="s">
        <v>98</v>
      </c>
      <c r="C65" s="7" t="s">
        <v>97</v>
      </c>
      <c r="D65" s="7" t="s">
        <v>97</v>
      </c>
      <c r="E65" s="7" t="s">
        <v>97</v>
      </c>
      <c r="F65" s="8" t="s">
        <v>98</v>
      </c>
      <c r="G65" s="8" t="s">
        <v>98</v>
      </c>
      <c r="H65" s="8" t="s">
        <v>98</v>
      </c>
      <c r="I65" s="8" t="s">
        <v>98</v>
      </c>
      <c r="J65" s="8" t="s">
        <v>98</v>
      </c>
      <c r="K65" s="7" t="s">
        <v>97</v>
      </c>
      <c r="L65" s="7" t="s">
        <v>97</v>
      </c>
      <c r="M65" s="7" t="s">
        <v>98</v>
      </c>
      <c r="N65" s="8" t="s">
        <v>98</v>
      </c>
      <c r="O65" s="8" t="s">
        <v>98</v>
      </c>
      <c r="P65" s="8" t="s">
        <v>98</v>
      </c>
      <c r="Q65" s="8" t="s">
        <v>98</v>
      </c>
      <c r="R65" s="8" t="s">
        <v>98</v>
      </c>
      <c r="S65" s="8" t="s">
        <v>98</v>
      </c>
    </row>
    <row r="66" spans="1:19" ht="15.75" x14ac:dyDescent="0.25">
      <c r="A66" s="6">
        <f>Questionnaire!A66</f>
        <v>64</v>
      </c>
      <c r="B66" s="8" t="s">
        <v>98</v>
      </c>
      <c r="C66" s="7" t="s">
        <v>97</v>
      </c>
      <c r="D66" s="8" t="s">
        <v>98</v>
      </c>
      <c r="E66" s="8" t="s">
        <v>98</v>
      </c>
      <c r="F66" s="8" t="s">
        <v>98</v>
      </c>
      <c r="G66" s="8" t="s">
        <v>98</v>
      </c>
      <c r="H66" s="7" t="s">
        <v>97</v>
      </c>
      <c r="I66" s="8" t="s">
        <v>98</v>
      </c>
      <c r="J66" s="8" t="s">
        <v>98</v>
      </c>
      <c r="K66" s="8" t="s">
        <v>98</v>
      </c>
      <c r="L66" s="7" t="s">
        <v>97</v>
      </c>
      <c r="M66" s="7" t="s">
        <v>98</v>
      </c>
      <c r="N66" s="8" t="s">
        <v>98</v>
      </c>
      <c r="O66" s="8" t="s">
        <v>98</v>
      </c>
      <c r="P66" s="8" t="s">
        <v>98</v>
      </c>
      <c r="Q66" s="8" t="s">
        <v>98</v>
      </c>
      <c r="R66" s="8" t="s">
        <v>98</v>
      </c>
      <c r="S66" s="8" t="s">
        <v>98</v>
      </c>
    </row>
    <row r="67" spans="1:19" ht="15.75" x14ac:dyDescent="0.25">
      <c r="A67" s="6">
        <f>Questionnaire!A67</f>
        <v>65</v>
      </c>
      <c r="B67" s="7" t="s">
        <v>97</v>
      </c>
      <c r="C67" s="8" t="s">
        <v>98</v>
      </c>
      <c r="D67" s="8" t="s">
        <v>98</v>
      </c>
      <c r="E67" s="8" t="s">
        <v>98</v>
      </c>
      <c r="F67" s="8" t="s">
        <v>98</v>
      </c>
      <c r="G67" s="8" t="s">
        <v>98</v>
      </c>
      <c r="H67" s="8" t="s">
        <v>98</v>
      </c>
      <c r="I67" s="7" t="s">
        <v>97</v>
      </c>
      <c r="J67" s="8" t="s">
        <v>98</v>
      </c>
      <c r="K67" s="8" t="s">
        <v>98</v>
      </c>
      <c r="L67" s="7" t="s">
        <v>97</v>
      </c>
      <c r="M67" s="7" t="s">
        <v>98</v>
      </c>
      <c r="N67" s="8" t="s">
        <v>98</v>
      </c>
      <c r="O67" s="8" t="s">
        <v>98</v>
      </c>
      <c r="P67" s="8" t="s">
        <v>98</v>
      </c>
      <c r="Q67" s="8" t="s">
        <v>98</v>
      </c>
      <c r="R67" s="8" t="s">
        <v>98</v>
      </c>
      <c r="S67" s="8" t="s">
        <v>98</v>
      </c>
    </row>
    <row r="68" spans="1:19" ht="15.75" x14ac:dyDescent="0.25">
      <c r="A68" s="6">
        <f>Questionnaire!A68</f>
        <v>66</v>
      </c>
      <c r="B68" s="8" t="s">
        <v>98</v>
      </c>
      <c r="C68" s="7" t="s">
        <v>97</v>
      </c>
      <c r="D68" s="8" t="s">
        <v>98</v>
      </c>
      <c r="E68" s="8" t="s">
        <v>98</v>
      </c>
      <c r="F68" s="8" t="s">
        <v>98</v>
      </c>
      <c r="G68" s="8" t="s">
        <v>98</v>
      </c>
      <c r="H68" s="8" t="s">
        <v>98</v>
      </c>
      <c r="I68" s="8" t="s">
        <v>98</v>
      </c>
      <c r="J68" s="8" t="s">
        <v>98</v>
      </c>
      <c r="K68" s="7" t="s">
        <v>97</v>
      </c>
      <c r="L68" s="8" t="s">
        <v>98</v>
      </c>
      <c r="M68" s="7" t="s">
        <v>98</v>
      </c>
      <c r="N68" s="8" t="s">
        <v>98</v>
      </c>
      <c r="O68" s="8" t="s">
        <v>98</v>
      </c>
      <c r="P68" s="8" t="s">
        <v>98</v>
      </c>
      <c r="Q68" s="8" t="s">
        <v>98</v>
      </c>
      <c r="R68" s="8" t="s">
        <v>98</v>
      </c>
      <c r="S68" s="8" t="s">
        <v>98</v>
      </c>
    </row>
    <row r="69" spans="1:19" ht="15.75" x14ac:dyDescent="0.25">
      <c r="A69" s="60">
        <f>Questionnaire!A69</f>
        <v>67</v>
      </c>
      <c r="B69" s="8" t="s">
        <v>98</v>
      </c>
      <c r="C69" s="58" t="s">
        <v>97</v>
      </c>
      <c r="D69" s="8" t="s">
        <v>98</v>
      </c>
      <c r="E69" s="8" t="s">
        <v>98</v>
      </c>
      <c r="F69" s="8" t="s">
        <v>98</v>
      </c>
      <c r="G69" s="8" t="s">
        <v>98</v>
      </c>
      <c r="H69" s="8" t="s">
        <v>98</v>
      </c>
      <c r="I69" s="8" t="s">
        <v>98</v>
      </c>
      <c r="J69" s="8" t="s">
        <v>98</v>
      </c>
      <c r="K69" s="57"/>
      <c r="L69" s="8" t="s">
        <v>98</v>
      </c>
      <c r="M69" s="7" t="s">
        <v>98</v>
      </c>
      <c r="N69" s="8" t="s">
        <v>98</v>
      </c>
      <c r="O69" s="8" t="s">
        <v>98</v>
      </c>
      <c r="P69" s="8" t="s">
        <v>98</v>
      </c>
      <c r="Q69" s="8" t="s">
        <v>98</v>
      </c>
      <c r="R69" s="8" t="s">
        <v>98</v>
      </c>
      <c r="S69" s="8" t="s">
        <v>98</v>
      </c>
    </row>
    <row r="70" spans="1:19" ht="15.75" x14ac:dyDescent="0.25">
      <c r="A70" s="6">
        <f>Questionnaire!A70</f>
        <v>68</v>
      </c>
      <c r="B70" s="8" t="s">
        <v>98</v>
      </c>
      <c r="C70" s="7" t="s">
        <v>97</v>
      </c>
      <c r="D70" s="8" t="s">
        <v>98</v>
      </c>
      <c r="E70" s="8" t="s">
        <v>98</v>
      </c>
      <c r="F70" s="8" t="s">
        <v>98</v>
      </c>
      <c r="G70" s="8" t="s">
        <v>98</v>
      </c>
      <c r="H70" s="7" t="s">
        <v>97</v>
      </c>
      <c r="I70" s="8" t="s">
        <v>98</v>
      </c>
      <c r="J70" s="7" t="s">
        <v>97</v>
      </c>
      <c r="K70" s="7" t="s">
        <v>97</v>
      </c>
      <c r="L70" s="8" t="s">
        <v>98</v>
      </c>
      <c r="M70" s="7" t="s">
        <v>97</v>
      </c>
      <c r="N70" s="7" t="s">
        <v>97</v>
      </c>
      <c r="O70" s="8" t="s">
        <v>98</v>
      </c>
      <c r="P70" s="8" t="s">
        <v>98</v>
      </c>
      <c r="Q70" s="8" t="s">
        <v>98</v>
      </c>
      <c r="R70" s="8" t="s">
        <v>98</v>
      </c>
      <c r="S70" s="7" t="s">
        <v>97</v>
      </c>
    </row>
    <row r="71" spans="1:19" ht="15.75" x14ac:dyDescent="0.25">
      <c r="A71" s="6">
        <f>Questionnaire!A71</f>
        <v>69</v>
      </c>
      <c r="B71" s="8" t="s">
        <v>98</v>
      </c>
      <c r="C71" s="7" t="s">
        <v>97</v>
      </c>
      <c r="D71" s="7" t="s">
        <v>97</v>
      </c>
      <c r="E71" s="8" t="s">
        <v>98</v>
      </c>
      <c r="F71" s="8" t="s">
        <v>98</v>
      </c>
      <c r="G71" s="8" t="s">
        <v>98</v>
      </c>
      <c r="H71" s="7" t="s">
        <v>97</v>
      </c>
      <c r="I71" s="8" t="s">
        <v>98</v>
      </c>
      <c r="J71" s="7" t="s">
        <v>97</v>
      </c>
      <c r="K71" s="8" t="s">
        <v>98</v>
      </c>
      <c r="L71" s="8" t="s">
        <v>98</v>
      </c>
      <c r="M71" s="7" t="s">
        <v>98</v>
      </c>
      <c r="N71" s="8" t="s">
        <v>98</v>
      </c>
      <c r="O71" s="8" t="s">
        <v>98</v>
      </c>
      <c r="P71" s="8" t="s">
        <v>98</v>
      </c>
      <c r="Q71" s="8" t="s">
        <v>98</v>
      </c>
      <c r="R71" s="7" t="s">
        <v>97</v>
      </c>
      <c r="S71" s="8" t="s">
        <v>98</v>
      </c>
    </row>
    <row r="72" spans="1:19" ht="15.75" x14ac:dyDescent="0.25">
      <c r="A72" s="6">
        <f>Questionnaire!A72</f>
        <v>70</v>
      </c>
      <c r="B72" s="8" t="s">
        <v>98</v>
      </c>
      <c r="C72" s="8" t="s">
        <v>98</v>
      </c>
      <c r="D72" s="8" t="s">
        <v>98</v>
      </c>
      <c r="E72" s="8" t="s">
        <v>98</v>
      </c>
      <c r="F72" s="8" t="s">
        <v>98</v>
      </c>
      <c r="G72" s="7" t="s">
        <v>97</v>
      </c>
      <c r="H72" s="8" t="s">
        <v>98</v>
      </c>
      <c r="I72" s="8" t="s">
        <v>98</v>
      </c>
      <c r="J72" s="8" t="s">
        <v>98</v>
      </c>
      <c r="K72" s="8" t="s">
        <v>98</v>
      </c>
      <c r="L72" s="8" t="s">
        <v>98</v>
      </c>
      <c r="M72" s="7" t="s">
        <v>98</v>
      </c>
      <c r="N72" s="8" t="s">
        <v>98</v>
      </c>
      <c r="O72" s="8" t="s">
        <v>98</v>
      </c>
      <c r="P72" s="8" t="s">
        <v>98</v>
      </c>
      <c r="Q72" s="8" t="s">
        <v>98</v>
      </c>
      <c r="R72" s="8" t="s">
        <v>98</v>
      </c>
      <c r="S72" s="8" t="s">
        <v>98</v>
      </c>
    </row>
    <row r="73" spans="1:19" ht="15.75" x14ac:dyDescent="0.25">
      <c r="A73" s="6">
        <f>Questionnaire!A73</f>
        <v>71</v>
      </c>
      <c r="B73" s="8" t="s">
        <v>98</v>
      </c>
      <c r="C73" s="8" t="s">
        <v>97</v>
      </c>
      <c r="D73" s="8" t="s">
        <v>98</v>
      </c>
      <c r="E73" s="8" t="s">
        <v>98</v>
      </c>
      <c r="F73" s="8" t="s">
        <v>98</v>
      </c>
      <c r="G73" s="8" t="s">
        <v>98</v>
      </c>
      <c r="H73" s="8" t="s">
        <v>98</v>
      </c>
      <c r="I73" s="8" t="s">
        <v>98</v>
      </c>
      <c r="J73" s="8" t="s">
        <v>98</v>
      </c>
      <c r="K73" s="8" t="s">
        <v>98</v>
      </c>
      <c r="L73" s="8" t="s">
        <v>98</v>
      </c>
      <c r="M73" s="7" t="s">
        <v>98</v>
      </c>
      <c r="N73" s="8" t="s">
        <v>98</v>
      </c>
      <c r="O73" s="8" t="s">
        <v>98</v>
      </c>
      <c r="P73" s="8" t="s">
        <v>98</v>
      </c>
      <c r="Q73" s="8" t="s">
        <v>98</v>
      </c>
      <c r="R73" s="8" t="s">
        <v>98</v>
      </c>
      <c r="S73" s="8" t="s">
        <v>98</v>
      </c>
    </row>
    <row r="74" spans="1:19" ht="15.75" x14ac:dyDescent="0.25">
      <c r="A74" s="6">
        <f>Questionnaire!A74</f>
        <v>72</v>
      </c>
      <c r="B74" s="7" t="s">
        <v>97</v>
      </c>
      <c r="C74" s="8" t="s">
        <v>98</v>
      </c>
      <c r="D74" s="8" t="s">
        <v>98</v>
      </c>
      <c r="E74" s="8" t="s">
        <v>98</v>
      </c>
      <c r="F74" s="8" t="s">
        <v>98</v>
      </c>
      <c r="G74" s="8" t="s">
        <v>98</v>
      </c>
      <c r="H74" s="8" t="s">
        <v>98</v>
      </c>
      <c r="I74" s="8" t="s">
        <v>98</v>
      </c>
      <c r="J74" s="8" t="s">
        <v>98</v>
      </c>
      <c r="K74" s="8" t="s">
        <v>98</v>
      </c>
      <c r="L74" s="8" t="s">
        <v>98</v>
      </c>
      <c r="M74" s="7" t="s">
        <v>98</v>
      </c>
      <c r="N74" s="8" t="s">
        <v>98</v>
      </c>
      <c r="O74" s="8" t="s">
        <v>98</v>
      </c>
      <c r="P74" s="8" t="s">
        <v>98</v>
      </c>
      <c r="Q74" s="8" t="s">
        <v>98</v>
      </c>
      <c r="R74" s="8" t="s">
        <v>98</v>
      </c>
      <c r="S74" s="8" t="s">
        <v>98</v>
      </c>
    </row>
    <row r="75" spans="1:19" ht="15.75" x14ac:dyDescent="0.25">
      <c r="A75" s="6">
        <f>Questionnaire!A75</f>
        <v>73</v>
      </c>
      <c r="B75" s="8" t="s">
        <v>98</v>
      </c>
      <c r="C75" s="7" t="s">
        <v>97</v>
      </c>
      <c r="D75" s="7" t="s">
        <v>98</v>
      </c>
      <c r="E75" s="8" t="s">
        <v>98</v>
      </c>
      <c r="F75" s="8" t="s">
        <v>98</v>
      </c>
      <c r="G75" s="7" t="s">
        <v>97</v>
      </c>
      <c r="H75" s="7" t="s">
        <v>97</v>
      </c>
      <c r="I75" s="8" t="s">
        <v>98</v>
      </c>
      <c r="J75" s="7" t="s">
        <v>97</v>
      </c>
      <c r="K75" s="7" t="s">
        <v>97</v>
      </c>
      <c r="L75" s="8" t="s">
        <v>98</v>
      </c>
      <c r="M75" s="7" t="s">
        <v>98</v>
      </c>
      <c r="N75" s="8" t="s">
        <v>98</v>
      </c>
      <c r="O75" s="8" t="s">
        <v>98</v>
      </c>
      <c r="P75" s="8" t="s">
        <v>98</v>
      </c>
      <c r="Q75" s="8" t="s">
        <v>98</v>
      </c>
      <c r="R75" s="8" t="s">
        <v>98</v>
      </c>
      <c r="S75" s="7" t="s">
        <v>97</v>
      </c>
    </row>
    <row r="76" spans="1:19" ht="15.75" x14ac:dyDescent="0.25">
      <c r="A76" s="6">
        <f>Questionnaire!A76</f>
        <v>74</v>
      </c>
      <c r="B76" s="8" t="s">
        <v>98</v>
      </c>
      <c r="C76" s="8" t="s">
        <v>98</v>
      </c>
      <c r="D76" s="8" t="s">
        <v>98</v>
      </c>
      <c r="E76" s="8" t="s">
        <v>98</v>
      </c>
      <c r="F76" s="8" t="s">
        <v>98</v>
      </c>
      <c r="G76" s="7" t="s">
        <v>97</v>
      </c>
      <c r="H76" s="8" t="s">
        <v>98</v>
      </c>
      <c r="I76" s="8" t="s">
        <v>98</v>
      </c>
      <c r="J76" s="8" t="s">
        <v>98</v>
      </c>
      <c r="K76" s="8" t="s">
        <v>98</v>
      </c>
      <c r="L76" s="8" t="s">
        <v>98</v>
      </c>
      <c r="M76" s="7" t="s">
        <v>98</v>
      </c>
      <c r="N76" s="8" t="s">
        <v>98</v>
      </c>
      <c r="O76" s="8" t="s">
        <v>98</v>
      </c>
      <c r="P76" s="8" t="s">
        <v>98</v>
      </c>
      <c r="Q76" s="8" t="s">
        <v>98</v>
      </c>
      <c r="R76" s="8" t="s">
        <v>98</v>
      </c>
      <c r="S76" s="8" t="s">
        <v>98</v>
      </c>
    </row>
    <row r="77" spans="1:19" ht="15.75" x14ac:dyDescent="0.25">
      <c r="A77" s="6">
        <f>Questionnaire!A77</f>
        <v>75</v>
      </c>
      <c r="B77" s="8" t="s">
        <v>98</v>
      </c>
      <c r="C77" s="7" t="s">
        <v>97</v>
      </c>
      <c r="D77" s="7" t="s">
        <v>97</v>
      </c>
      <c r="E77" s="8" t="s">
        <v>98</v>
      </c>
      <c r="F77" s="8" t="s">
        <v>98</v>
      </c>
      <c r="G77" s="8" t="s">
        <v>98</v>
      </c>
      <c r="H77" s="7" t="s">
        <v>97</v>
      </c>
      <c r="I77" s="8" t="s">
        <v>98</v>
      </c>
      <c r="J77" s="8" t="s">
        <v>98</v>
      </c>
      <c r="K77" s="8" t="s">
        <v>98</v>
      </c>
      <c r="L77" s="8" t="s">
        <v>98</v>
      </c>
      <c r="M77" s="7" t="s">
        <v>98</v>
      </c>
      <c r="N77" s="8" t="s">
        <v>98</v>
      </c>
      <c r="O77" s="8" t="s">
        <v>98</v>
      </c>
      <c r="P77" s="8" t="s">
        <v>98</v>
      </c>
      <c r="Q77" s="8" t="s">
        <v>98</v>
      </c>
      <c r="R77" s="8" t="s">
        <v>98</v>
      </c>
      <c r="S77" s="7" t="s">
        <v>97</v>
      </c>
    </row>
    <row r="78" spans="1:19" ht="15.75" x14ac:dyDescent="0.25">
      <c r="A78" s="6">
        <f>Questionnaire!A78</f>
        <v>76</v>
      </c>
      <c r="B78" s="8" t="s">
        <v>98</v>
      </c>
      <c r="C78" s="7" t="s">
        <v>97</v>
      </c>
      <c r="D78" s="7" t="s">
        <v>97</v>
      </c>
      <c r="E78" s="8" t="s">
        <v>98</v>
      </c>
      <c r="F78" s="8" t="s">
        <v>98</v>
      </c>
      <c r="G78" s="8" t="s">
        <v>98</v>
      </c>
      <c r="H78" s="8" t="s">
        <v>98</v>
      </c>
      <c r="I78" s="7" t="s">
        <v>97</v>
      </c>
      <c r="J78" s="8" t="s">
        <v>98</v>
      </c>
      <c r="K78" s="7" t="s">
        <v>97</v>
      </c>
      <c r="L78" s="7" t="s">
        <v>97</v>
      </c>
      <c r="M78" s="7" t="s">
        <v>98</v>
      </c>
      <c r="N78" s="8" t="s">
        <v>98</v>
      </c>
      <c r="O78" s="8" t="s">
        <v>98</v>
      </c>
      <c r="P78" s="8" t="s">
        <v>98</v>
      </c>
      <c r="Q78" s="8" t="s">
        <v>98</v>
      </c>
      <c r="R78" s="8" t="s">
        <v>98</v>
      </c>
      <c r="S78" s="7" t="s">
        <v>97</v>
      </c>
    </row>
    <row r="79" spans="1:19" ht="15.75" x14ac:dyDescent="0.25">
      <c r="A79" s="6">
        <f>Questionnaire!A79</f>
        <v>77</v>
      </c>
      <c r="B79" s="8" t="s">
        <v>98</v>
      </c>
      <c r="C79" s="7" t="s">
        <v>97</v>
      </c>
      <c r="D79" s="8" t="s">
        <v>98</v>
      </c>
      <c r="E79" s="8" t="s">
        <v>98</v>
      </c>
      <c r="F79" s="8" t="s">
        <v>98</v>
      </c>
      <c r="G79" s="8" t="s">
        <v>98</v>
      </c>
      <c r="H79" s="7" t="s">
        <v>97</v>
      </c>
      <c r="I79" s="8" t="s">
        <v>98</v>
      </c>
      <c r="J79" s="8" t="s">
        <v>98</v>
      </c>
      <c r="K79" s="8" t="s">
        <v>98</v>
      </c>
      <c r="L79" s="8" t="s">
        <v>98</v>
      </c>
      <c r="M79" s="7" t="s">
        <v>98</v>
      </c>
      <c r="N79" s="8" t="s">
        <v>98</v>
      </c>
      <c r="O79" s="8" t="s">
        <v>98</v>
      </c>
      <c r="P79" s="8" t="s">
        <v>98</v>
      </c>
      <c r="Q79" s="8" t="s">
        <v>98</v>
      </c>
      <c r="R79" s="8" t="s">
        <v>98</v>
      </c>
      <c r="S79" s="8" t="s">
        <v>98</v>
      </c>
    </row>
    <row r="80" spans="1:19" ht="15.75" x14ac:dyDescent="0.25">
      <c r="A80" s="6">
        <f>Questionnaire!A80</f>
        <v>78</v>
      </c>
      <c r="B80" s="8" t="s">
        <v>98</v>
      </c>
      <c r="C80" s="7" t="s">
        <v>97</v>
      </c>
      <c r="D80" s="7" t="s">
        <v>97</v>
      </c>
      <c r="E80" s="8" t="s">
        <v>98</v>
      </c>
      <c r="F80" s="8" t="s">
        <v>98</v>
      </c>
      <c r="G80" s="8" t="s">
        <v>98</v>
      </c>
      <c r="H80" s="8" t="s">
        <v>98</v>
      </c>
      <c r="I80" s="7" t="s">
        <v>97</v>
      </c>
      <c r="J80" s="8" t="s">
        <v>98</v>
      </c>
      <c r="K80" s="7" t="s">
        <v>97</v>
      </c>
      <c r="L80" s="7" t="s">
        <v>97</v>
      </c>
      <c r="M80" s="7" t="s">
        <v>98</v>
      </c>
      <c r="N80" s="8" t="s">
        <v>98</v>
      </c>
      <c r="O80" s="8" t="s">
        <v>98</v>
      </c>
      <c r="P80" s="8" t="s">
        <v>98</v>
      </c>
      <c r="Q80" s="8" t="s">
        <v>98</v>
      </c>
      <c r="R80" s="8" t="s">
        <v>98</v>
      </c>
      <c r="S80" s="8" t="s">
        <v>98</v>
      </c>
    </row>
    <row r="81" spans="1:19" ht="15.75" x14ac:dyDescent="0.25">
      <c r="A81" s="6">
        <f>Questionnaire!A81</f>
        <v>79</v>
      </c>
      <c r="B81" s="8" t="s">
        <v>98</v>
      </c>
      <c r="C81" s="7" t="s">
        <v>97</v>
      </c>
      <c r="D81" s="8" t="s">
        <v>98</v>
      </c>
      <c r="E81" s="8" t="s">
        <v>98</v>
      </c>
      <c r="F81" s="8" t="s">
        <v>98</v>
      </c>
      <c r="G81" s="8" t="s">
        <v>98</v>
      </c>
      <c r="H81" s="8" t="s">
        <v>98</v>
      </c>
      <c r="I81" s="8" t="s">
        <v>98</v>
      </c>
      <c r="J81" s="8" t="s">
        <v>98</v>
      </c>
      <c r="K81" s="8" t="s">
        <v>98</v>
      </c>
      <c r="L81" s="8" t="s">
        <v>98</v>
      </c>
      <c r="M81" s="7" t="s">
        <v>98</v>
      </c>
      <c r="N81" s="8" t="s">
        <v>98</v>
      </c>
      <c r="O81" s="8" t="s">
        <v>98</v>
      </c>
      <c r="P81" s="8" t="s">
        <v>98</v>
      </c>
      <c r="Q81" s="8" t="s">
        <v>98</v>
      </c>
      <c r="R81" s="8" t="s">
        <v>98</v>
      </c>
      <c r="S81" s="8" t="s">
        <v>98</v>
      </c>
    </row>
    <row r="82" spans="1:19" ht="15.75" x14ac:dyDescent="0.25">
      <c r="A82" s="6">
        <f>Questionnaire!A82</f>
        <v>80</v>
      </c>
      <c r="B82" s="8" t="s">
        <v>98</v>
      </c>
      <c r="C82" s="7" t="s">
        <v>97</v>
      </c>
      <c r="D82" s="7" t="s">
        <v>98</v>
      </c>
      <c r="E82" s="8" t="s">
        <v>98</v>
      </c>
      <c r="F82" s="8" t="s">
        <v>98</v>
      </c>
      <c r="G82" s="8" t="s">
        <v>98</v>
      </c>
      <c r="H82" s="7" t="s">
        <v>97</v>
      </c>
      <c r="I82" s="8" t="s">
        <v>98</v>
      </c>
      <c r="J82" s="8" t="s">
        <v>98</v>
      </c>
      <c r="K82" s="8" t="s">
        <v>98</v>
      </c>
      <c r="L82" s="8" t="s">
        <v>98</v>
      </c>
      <c r="M82" s="7" t="s">
        <v>98</v>
      </c>
      <c r="N82" s="8" t="s">
        <v>98</v>
      </c>
      <c r="O82" s="8" t="s">
        <v>98</v>
      </c>
      <c r="P82" s="8" t="s">
        <v>98</v>
      </c>
      <c r="Q82" s="8" t="s">
        <v>98</v>
      </c>
      <c r="R82" s="8" t="s">
        <v>98</v>
      </c>
      <c r="S82" s="8" t="s">
        <v>98</v>
      </c>
    </row>
    <row r="83" spans="1:19" ht="15.75" x14ac:dyDescent="0.25">
      <c r="A83" s="6">
        <f>Questionnaire!A83</f>
        <v>81</v>
      </c>
      <c r="B83" s="8" t="s">
        <v>98</v>
      </c>
      <c r="C83" s="7" t="s">
        <v>97</v>
      </c>
      <c r="D83" s="8" t="s">
        <v>98</v>
      </c>
      <c r="E83" s="8" t="s">
        <v>98</v>
      </c>
      <c r="F83" s="8" t="s">
        <v>98</v>
      </c>
      <c r="G83" s="8" t="s">
        <v>98</v>
      </c>
      <c r="H83" s="8" t="s">
        <v>98</v>
      </c>
      <c r="I83" s="7" t="s">
        <v>97</v>
      </c>
      <c r="J83" s="8" t="s">
        <v>98</v>
      </c>
      <c r="K83" s="7" t="s">
        <v>97</v>
      </c>
      <c r="L83" s="7" t="s">
        <v>97</v>
      </c>
      <c r="M83" s="7" t="s">
        <v>98</v>
      </c>
      <c r="N83" s="8" t="s">
        <v>98</v>
      </c>
      <c r="O83" s="8" t="s">
        <v>98</v>
      </c>
      <c r="P83" s="8" t="s">
        <v>98</v>
      </c>
      <c r="Q83" s="8" t="s">
        <v>98</v>
      </c>
      <c r="R83" s="8" t="s">
        <v>98</v>
      </c>
      <c r="S83" s="7" t="s">
        <v>97</v>
      </c>
    </row>
    <row r="84" spans="1:19" ht="15.75" x14ac:dyDescent="0.25">
      <c r="A84" s="6">
        <f>Questionnaire!A84</f>
        <v>82</v>
      </c>
      <c r="B84" s="8" t="s">
        <v>98</v>
      </c>
      <c r="C84" s="7" t="s">
        <v>97</v>
      </c>
      <c r="D84" s="7" t="s">
        <v>97</v>
      </c>
      <c r="E84" s="8" t="s">
        <v>98</v>
      </c>
      <c r="F84" s="8" t="s">
        <v>98</v>
      </c>
      <c r="G84" s="8" t="s">
        <v>98</v>
      </c>
      <c r="H84" s="8" t="s">
        <v>98</v>
      </c>
      <c r="I84" s="8" t="s">
        <v>98</v>
      </c>
      <c r="J84" s="8" t="s">
        <v>98</v>
      </c>
      <c r="K84" s="8" t="s">
        <v>98</v>
      </c>
      <c r="L84" s="8" t="s">
        <v>98</v>
      </c>
      <c r="M84" s="7" t="s">
        <v>98</v>
      </c>
      <c r="N84" s="8" t="s">
        <v>98</v>
      </c>
      <c r="O84" s="8" t="s">
        <v>98</v>
      </c>
      <c r="P84" s="8" t="s">
        <v>98</v>
      </c>
      <c r="Q84" s="8" t="s">
        <v>98</v>
      </c>
      <c r="R84" s="8" t="s">
        <v>98</v>
      </c>
      <c r="S84" s="8" t="s">
        <v>98</v>
      </c>
    </row>
    <row r="85" spans="1:19" ht="15.75" x14ac:dyDescent="0.25">
      <c r="A85" s="6">
        <f>Questionnaire!A85</f>
        <v>83</v>
      </c>
      <c r="B85" s="8" t="s">
        <v>98</v>
      </c>
      <c r="C85" s="7" t="s">
        <v>97</v>
      </c>
      <c r="D85" s="7" t="s">
        <v>97</v>
      </c>
      <c r="E85" s="8" t="s">
        <v>98</v>
      </c>
      <c r="F85" s="8" t="s">
        <v>98</v>
      </c>
      <c r="G85" s="8" t="s">
        <v>98</v>
      </c>
      <c r="H85" s="8" t="s">
        <v>98</v>
      </c>
      <c r="I85" s="8" t="s">
        <v>98</v>
      </c>
      <c r="J85" s="8" t="s">
        <v>98</v>
      </c>
      <c r="K85" s="8" t="s">
        <v>98</v>
      </c>
      <c r="L85" s="8" t="s">
        <v>98</v>
      </c>
      <c r="M85" s="7" t="s">
        <v>98</v>
      </c>
      <c r="N85" s="8" t="s">
        <v>98</v>
      </c>
      <c r="O85" s="8" t="s">
        <v>98</v>
      </c>
      <c r="P85" s="8" t="s">
        <v>98</v>
      </c>
      <c r="Q85" s="8" t="s">
        <v>98</v>
      </c>
      <c r="R85" s="8" t="s">
        <v>98</v>
      </c>
      <c r="S85" s="8" t="s">
        <v>98</v>
      </c>
    </row>
    <row r="86" spans="1:19" ht="15.75" x14ac:dyDescent="0.25">
      <c r="A86" s="6">
        <f>Questionnaire!A86</f>
        <v>84</v>
      </c>
      <c r="B86" s="8" t="s">
        <v>98</v>
      </c>
      <c r="C86" s="7" t="s">
        <v>97</v>
      </c>
      <c r="D86" s="7" t="s">
        <v>98</v>
      </c>
      <c r="E86" s="8" t="s">
        <v>98</v>
      </c>
      <c r="F86" s="8" t="s">
        <v>98</v>
      </c>
      <c r="G86" s="8" t="s">
        <v>98</v>
      </c>
      <c r="H86" s="8" t="s">
        <v>98</v>
      </c>
      <c r="I86" s="7" t="s">
        <v>97</v>
      </c>
      <c r="J86" s="7" t="s">
        <v>97</v>
      </c>
      <c r="K86" s="7" t="s">
        <v>97</v>
      </c>
      <c r="L86" s="7" t="s">
        <v>97</v>
      </c>
      <c r="M86" s="7" t="s">
        <v>98</v>
      </c>
      <c r="N86" s="8" t="s">
        <v>98</v>
      </c>
      <c r="O86" s="8" t="s">
        <v>98</v>
      </c>
      <c r="P86" s="8" t="s">
        <v>98</v>
      </c>
      <c r="Q86" s="8" t="s">
        <v>98</v>
      </c>
      <c r="R86" s="8" t="s">
        <v>98</v>
      </c>
      <c r="S86" s="7" t="s">
        <v>97</v>
      </c>
    </row>
    <row r="87" spans="1:19" ht="15.75" x14ac:dyDescent="0.25">
      <c r="A87" s="6">
        <f>Questionnaire!A87</f>
        <v>85</v>
      </c>
      <c r="B87" s="8" t="s">
        <v>98</v>
      </c>
      <c r="C87" s="8" t="s">
        <v>98</v>
      </c>
      <c r="D87" s="8" t="s">
        <v>98</v>
      </c>
      <c r="E87" s="8" t="s">
        <v>98</v>
      </c>
      <c r="F87" s="8" t="s">
        <v>98</v>
      </c>
      <c r="G87" s="7" t="s">
        <v>97</v>
      </c>
      <c r="H87" s="7" t="s">
        <v>97</v>
      </c>
      <c r="I87" s="7" t="s">
        <v>97</v>
      </c>
      <c r="J87" s="7" t="s">
        <v>97</v>
      </c>
      <c r="K87" s="7" t="s">
        <v>97</v>
      </c>
      <c r="L87" s="7" t="s">
        <v>97</v>
      </c>
      <c r="M87" s="7" t="s">
        <v>98</v>
      </c>
      <c r="N87" s="8" t="s">
        <v>98</v>
      </c>
      <c r="O87" s="8" t="s">
        <v>98</v>
      </c>
      <c r="P87" s="8" t="s">
        <v>98</v>
      </c>
      <c r="Q87" s="8" t="s">
        <v>98</v>
      </c>
      <c r="R87" s="8" t="s">
        <v>98</v>
      </c>
      <c r="S87" s="8" t="s">
        <v>98</v>
      </c>
    </row>
    <row r="88" spans="1:19" ht="15.75" x14ac:dyDescent="0.25">
      <c r="A88" s="6">
        <f>Questionnaire!A88</f>
        <v>86</v>
      </c>
      <c r="B88" s="8" t="s">
        <v>98</v>
      </c>
      <c r="C88" s="7" t="s">
        <v>97</v>
      </c>
      <c r="D88" s="8" t="s">
        <v>98</v>
      </c>
      <c r="E88" s="8" t="s">
        <v>98</v>
      </c>
      <c r="F88" s="8" t="s">
        <v>98</v>
      </c>
      <c r="G88" s="8" t="s">
        <v>98</v>
      </c>
      <c r="H88" s="8" t="s">
        <v>98</v>
      </c>
      <c r="I88" s="8" t="s">
        <v>98</v>
      </c>
      <c r="J88" s="8" t="s">
        <v>98</v>
      </c>
      <c r="K88" s="8" t="s">
        <v>98</v>
      </c>
      <c r="L88" s="8" t="s">
        <v>98</v>
      </c>
      <c r="M88" s="7" t="s">
        <v>98</v>
      </c>
      <c r="N88" s="8" t="s">
        <v>98</v>
      </c>
      <c r="O88" s="8" t="s">
        <v>98</v>
      </c>
      <c r="P88" s="8" t="s">
        <v>98</v>
      </c>
      <c r="Q88" s="8" t="s">
        <v>98</v>
      </c>
      <c r="R88" s="8" t="s">
        <v>98</v>
      </c>
      <c r="S88" s="8" t="s">
        <v>98</v>
      </c>
    </row>
    <row r="89" spans="1:19" ht="15.75" x14ac:dyDescent="0.25">
      <c r="A89" s="6">
        <f>Questionnaire!A89</f>
        <v>87</v>
      </c>
      <c r="B89" s="8" t="s">
        <v>98</v>
      </c>
      <c r="C89" s="7" t="s">
        <v>97</v>
      </c>
      <c r="D89" s="8" t="s">
        <v>98</v>
      </c>
      <c r="E89" s="8" t="s">
        <v>98</v>
      </c>
      <c r="F89" s="8" t="s">
        <v>98</v>
      </c>
      <c r="G89" s="8" t="s">
        <v>98</v>
      </c>
      <c r="H89" s="8" t="s">
        <v>98</v>
      </c>
      <c r="I89" s="7" t="s">
        <v>97</v>
      </c>
      <c r="J89" s="7" t="s">
        <v>97</v>
      </c>
      <c r="K89" s="8" t="s">
        <v>98</v>
      </c>
      <c r="L89" s="7" t="s">
        <v>97</v>
      </c>
      <c r="M89" s="7" t="s">
        <v>98</v>
      </c>
      <c r="N89" s="8" t="s">
        <v>98</v>
      </c>
      <c r="O89" s="8" t="s">
        <v>98</v>
      </c>
      <c r="P89" s="8" t="s">
        <v>98</v>
      </c>
      <c r="Q89" s="8" t="s">
        <v>98</v>
      </c>
      <c r="R89" s="8" t="s">
        <v>98</v>
      </c>
      <c r="S89" s="8" t="s">
        <v>98</v>
      </c>
    </row>
    <row r="90" spans="1:19" ht="15.75" x14ac:dyDescent="0.25">
      <c r="A90" s="6">
        <f>Questionnaire!A90</f>
        <v>88</v>
      </c>
      <c r="B90" s="8" t="s">
        <v>98</v>
      </c>
      <c r="C90" s="7" t="s">
        <v>97</v>
      </c>
      <c r="D90" s="8" t="s">
        <v>98</v>
      </c>
      <c r="E90" s="7" t="s">
        <v>97</v>
      </c>
      <c r="F90" s="8" t="s">
        <v>98</v>
      </c>
      <c r="G90" s="8" t="s">
        <v>98</v>
      </c>
      <c r="H90" s="8" t="s">
        <v>98</v>
      </c>
      <c r="I90" s="7" t="s">
        <v>97</v>
      </c>
      <c r="J90" s="8" t="s">
        <v>98</v>
      </c>
      <c r="K90" s="8" t="s">
        <v>98</v>
      </c>
      <c r="L90" s="7" t="s">
        <v>97</v>
      </c>
      <c r="M90" s="7" t="s">
        <v>98</v>
      </c>
      <c r="N90" s="8" t="s">
        <v>98</v>
      </c>
      <c r="O90" s="8" t="s">
        <v>98</v>
      </c>
      <c r="P90" s="8" t="s">
        <v>98</v>
      </c>
      <c r="Q90" s="8" t="s">
        <v>98</v>
      </c>
      <c r="R90" s="8" t="s">
        <v>98</v>
      </c>
      <c r="S90" s="7" t="s">
        <v>97</v>
      </c>
    </row>
    <row r="91" spans="1:19" ht="15.75" x14ac:dyDescent="0.25">
      <c r="A91" s="6">
        <f>Questionnaire!A91</f>
        <v>89</v>
      </c>
      <c r="B91" s="8" t="s">
        <v>98</v>
      </c>
      <c r="C91" s="8" t="s">
        <v>98</v>
      </c>
      <c r="D91" s="8" t="s">
        <v>98</v>
      </c>
      <c r="E91" s="8" t="s">
        <v>98</v>
      </c>
      <c r="F91" s="8" t="s">
        <v>98</v>
      </c>
      <c r="G91" s="7" t="s">
        <v>97</v>
      </c>
      <c r="H91" s="8" t="s">
        <v>98</v>
      </c>
      <c r="I91" s="8" t="s">
        <v>98</v>
      </c>
      <c r="J91" s="8" t="s">
        <v>98</v>
      </c>
      <c r="K91" s="8" t="s">
        <v>98</v>
      </c>
      <c r="L91" s="8" t="s">
        <v>98</v>
      </c>
      <c r="M91" s="7" t="s">
        <v>98</v>
      </c>
      <c r="N91" s="8" t="s">
        <v>98</v>
      </c>
      <c r="O91" s="8" t="s">
        <v>98</v>
      </c>
      <c r="P91" s="8" t="s">
        <v>98</v>
      </c>
      <c r="Q91" s="8" t="s">
        <v>98</v>
      </c>
      <c r="R91" s="8" t="s">
        <v>98</v>
      </c>
      <c r="S91" s="7" t="s">
        <v>97</v>
      </c>
    </row>
    <row r="92" spans="1:19" ht="15.75" x14ac:dyDescent="0.25">
      <c r="A92" s="6">
        <f>Questionnaire!A92</f>
        <v>90</v>
      </c>
      <c r="B92" s="8" t="s">
        <v>98</v>
      </c>
      <c r="C92" s="7" t="s">
        <v>97</v>
      </c>
      <c r="D92" s="8" t="s">
        <v>98</v>
      </c>
      <c r="E92" s="8" t="s">
        <v>98</v>
      </c>
      <c r="F92" s="8" t="s">
        <v>98</v>
      </c>
      <c r="G92" s="8" t="s">
        <v>98</v>
      </c>
      <c r="H92" s="8" t="s">
        <v>98</v>
      </c>
      <c r="I92" s="7" t="s">
        <v>97</v>
      </c>
      <c r="J92" s="7" t="s">
        <v>97</v>
      </c>
      <c r="K92" s="7" t="s">
        <v>97</v>
      </c>
      <c r="L92" s="7" t="s">
        <v>97</v>
      </c>
      <c r="M92" s="7" t="s">
        <v>98</v>
      </c>
      <c r="N92" s="8" t="s">
        <v>98</v>
      </c>
      <c r="O92" s="8" t="s">
        <v>98</v>
      </c>
      <c r="P92" s="8" t="s">
        <v>98</v>
      </c>
      <c r="Q92" s="8" t="s">
        <v>98</v>
      </c>
      <c r="R92" s="8" t="s">
        <v>98</v>
      </c>
      <c r="S92" s="8" t="s">
        <v>98</v>
      </c>
    </row>
    <row r="93" spans="1:19" ht="15.75" x14ac:dyDescent="0.25">
      <c r="A93" s="6">
        <f>Questionnaire!A93</f>
        <v>91</v>
      </c>
      <c r="B93" s="8" t="s">
        <v>98</v>
      </c>
      <c r="C93" s="7" t="s">
        <v>97</v>
      </c>
      <c r="D93" s="7" t="s">
        <v>97</v>
      </c>
      <c r="E93" s="8" t="s">
        <v>98</v>
      </c>
      <c r="F93" s="8" t="s">
        <v>98</v>
      </c>
      <c r="G93" s="8" t="s">
        <v>98</v>
      </c>
      <c r="H93" s="7" t="s">
        <v>97</v>
      </c>
      <c r="I93" s="8" t="s">
        <v>98</v>
      </c>
      <c r="J93" s="8" t="s">
        <v>98</v>
      </c>
      <c r="K93" s="8" t="s">
        <v>98</v>
      </c>
      <c r="L93" s="7" t="s">
        <v>97</v>
      </c>
      <c r="M93" s="7" t="s">
        <v>98</v>
      </c>
      <c r="N93" s="8" t="s">
        <v>98</v>
      </c>
      <c r="O93" s="8" t="s">
        <v>98</v>
      </c>
      <c r="P93" s="8" t="s">
        <v>98</v>
      </c>
      <c r="Q93" s="8" t="s">
        <v>98</v>
      </c>
      <c r="R93" s="8" t="s">
        <v>98</v>
      </c>
      <c r="S93" s="7" t="s">
        <v>97</v>
      </c>
    </row>
    <row r="94" spans="1:19" ht="15.75" x14ac:dyDescent="0.25">
      <c r="A94" s="6">
        <f>Questionnaire!A94</f>
        <v>92</v>
      </c>
      <c r="B94" s="8" t="s">
        <v>98</v>
      </c>
      <c r="C94" s="7" t="s">
        <v>97</v>
      </c>
      <c r="D94" s="7" t="s">
        <v>97</v>
      </c>
      <c r="E94" s="8" t="s">
        <v>98</v>
      </c>
      <c r="F94" s="8" t="s">
        <v>98</v>
      </c>
      <c r="G94" s="8" t="s">
        <v>98</v>
      </c>
      <c r="H94" s="7" t="s">
        <v>97</v>
      </c>
      <c r="I94" s="8" t="s">
        <v>98</v>
      </c>
      <c r="J94" s="8" t="s">
        <v>98</v>
      </c>
      <c r="K94" s="7" t="s">
        <v>97</v>
      </c>
      <c r="L94" s="8" t="s">
        <v>98</v>
      </c>
      <c r="M94" s="7" t="s">
        <v>98</v>
      </c>
      <c r="N94" s="8" t="s">
        <v>98</v>
      </c>
      <c r="O94" s="8" t="s">
        <v>98</v>
      </c>
      <c r="P94" s="8" t="s">
        <v>98</v>
      </c>
      <c r="Q94" s="8" t="s">
        <v>98</v>
      </c>
      <c r="R94" s="8" t="s">
        <v>98</v>
      </c>
      <c r="S94" s="8" t="s">
        <v>98</v>
      </c>
    </row>
    <row r="95" spans="1:19" ht="15.75" x14ac:dyDescent="0.25">
      <c r="A95" s="6">
        <f>Questionnaire!A95</f>
        <v>93</v>
      </c>
      <c r="B95" s="8" t="s">
        <v>98</v>
      </c>
      <c r="C95" s="7" t="s">
        <v>97</v>
      </c>
      <c r="D95" s="8" t="s">
        <v>98</v>
      </c>
      <c r="E95" s="8" t="s">
        <v>98</v>
      </c>
      <c r="F95" s="8" t="s">
        <v>98</v>
      </c>
      <c r="G95" s="8" t="s">
        <v>98</v>
      </c>
      <c r="H95" s="8" t="s">
        <v>98</v>
      </c>
      <c r="I95" s="7" t="s">
        <v>97</v>
      </c>
      <c r="J95" s="8" t="s">
        <v>98</v>
      </c>
      <c r="K95" s="8" t="s">
        <v>98</v>
      </c>
      <c r="L95" s="8" t="s">
        <v>98</v>
      </c>
      <c r="M95" s="7" t="s">
        <v>98</v>
      </c>
      <c r="N95" s="8" t="s">
        <v>98</v>
      </c>
      <c r="O95" s="8" t="s">
        <v>98</v>
      </c>
      <c r="P95" s="8" t="s">
        <v>98</v>
      </c>
      <c r="Q95" s="8" t="s">
        <v>98</v>
      </c>
      <c r="R95" s="8" t="s">
        <v>98</v>
      </c>
      <c r="S95" s="8" t="s">
        <v>98</v>
      </c>
    </row>
    <row r="96" spans="1:19" ht="15.75" x14ac:dyDescent="0.25">
      <c r="A96" s="6">
        <f>Questionnaire!A96</f>
        <v>94</v>
      </c>
      <c r="B96" s="8" t="s">
        <v>98</v>
      </c>
      <c r="C96" s="7" t="s">
        <v>97</v>
      </c>
      <c r="D96" s="7" t="s">
        <v>97</v>
      </c>
      <c r="E96" s="7" t="s">
        <v>97</v>
      </c>
      <c r="F96" s="8" t="s">
        <v>98</v>
      </c>
      <c r="G96" s="8" t="s">
        <v>98</v>
      </c>
      <c r="H96" s="8" t="s">
        <v>98</v>
      </c>
      <c r="I96" s="7" t="s">
        <v>97</v>
      </c>
      <c r="J96" s="8" t="s">
        <v>98</v>
      </c>
      <c r="K96" s="8" t="s">
        <v>98</v>
      </c>
      <c r="L96" s="7" t="s">
        <v>97</v>
      </c>
      <c r="M96" s="7" t="s">
        <v>98</v>
      </c>
      <c r="N96" s="8" t="s">
        <v>98</v>
      </c>
      <c r="O96" s="8" t="s">
        <v>98</v>
      </c>
      <c r="P96" s="8" t="s">
        <v>98</v>
      </c>
      <c r="Q96" s="8" t="s">
        <v>98</v>
      </c>
      <c r="R96" s="8" t="s">
        <v>98</v>
      </c>
      <c r="S96" s="8" t="s">
        <v>98</v>
      </c>
    </row>
    <row r="97" spans="1:19" ht="15.75" x14ac:dyDescent="0.25">
      <c r="A97" s="6">
        <f>Questionnaire!A97</f>
        <v>95</v>
      </c>
      <c r="B97" s="8" t="s">
        <v>98</v>
      </c>
      <c r="C97" s="7" t="s">
        <v>97</v>
      </c>
      <c r="D97" s="7" t="s">
        <v>97</v>
      </c>
      <c r="E97" s="8" t="s">
        <v>98</v>
      </c>
      <c r="F97" s="8" t="s">
        <v>98</v>
      </c>
      <c r="G97" s="8" t="s">
        <v>98</v>
      </c>
      <c r="H97" s="8" t="s">
        <v>98</v>
      </c>
      <c r="I97" s="7" t="s">
        <v>97</v>
      </c>
      <c r="J97" s="8" t="s">
        <v>98</v>
      </c>
      <c r="K97" s="7" t="s">
        <v>97</v>
      </c>
      <c r="L97" s="7" t="s">
        <v>97</v>
      </c>
      <c r="M97" s="7" t="s">
        <v>98</v>
      </c>
      <c r="N97" s="8" t="s">
        <v>98</v>
      </c>
      <c r="O97" s="8" t="s">
        <v>98</v>
      </c>
      <c r="P97" s="8" t="s">
        <v>98</v>
      </c>
      <c r="Q97" s="8" t="s">
        <v>98</v>
      </c>
      <c r="R97" s="8" t="s">
        <v>98</v>
      </c>
      <c r="S97" s="7" t="s">
        <v>97</v>
      </c>
    </row>
    <row r="98" spans="1:19" ht="15.75" x14ac:dyDescent="0.25">
      <c r="A98" s="6">
        <f>Questionnaire!A98</f>
        <v>96</v>
      </c>
      <c r="B98" s="8" t="s">
        <v>98</v>
      </c>
      <c r="C98" s="7" t="s">
        <v>97</v>
      </c>
      <c r="D98" s="7" t="s">
        <v>97</v>
      </c>
      <c r="E98" s="8" t="s">
        <v>98</v>
      </c>
      <c r="F98" s="8" t="s">
        <v>98</v>
      </c>
      <c r="G98" s="8" t="s">
        <v>98</v>
      </c>
      <c r="H98" s="8" t="s">
        <v>98</v>
      </c>
      <c r="I98" s="7" t="s">
        <v>97</v>
      </c>
      <c r="J98" s="8" t="s">
        <v>98</v>
      </c>
      <c r="K98" s="8" t="s">
        <v>98</v>
      </c>
      <c r="L98" s="7" t="s">
        <v>97</v>
      </c>
      <c r="M98" s="7" t="s">
        <v>98</v>
      </c>
      <c r="N98" s="8" t="s">
        <v>98</v>
      </c>
      <c r="O98" s="8" t="s">
        <v>98</v>
      </c>
      <c r="P98" s="8" t="s">
        <v>98</v>
      </c>
      <c r="Q98" s="8" t="s">
        <v>98</v>
      </c>
      <c r="R98" s="8" t="s">
        <v>98</v>
      </c>
      <c r="S98" s="7" t="s">
        <v>97</v>
      </c>
    </row>
    <row r="99" spans="1:19" ht="15.75" x14ac:dyDescent="0.25">
      <c r="A99" s="6">
        <f>Questionnaire!A99</f>
        <v>97</v>
      </c>
      <c r="B99" s="8" t="s">
        <v>98</v>
      </c>
      <c r="C99" s="8" t="s">
        <v>98</v>
      </c>
      <c r="D99" s="8" t="s">
        <v>98</v>
      </c>
      <c r="E99" s="8" t="s">
        <v>98</v>
      </c>
      <c r="F99" s="8" t="s">
        <v>98</v>
      </c>
      <c r="G99" s="7" t="s">
        <v>97</v>
      </c>
      <c r="H99" s="8" t="s">
        <v>98</v>
      </c>
      <c r="I99" s="8" t="s">
        <v>98</v>
      </c>
      <c r="J99" s="8" t="s">
        <v>98</v>
      </c>
      <c r="K99" s="8" t="s">
        <v>98</v>
      </c>
      <c r="L99" s="8" t="s">
        <v>98</v>
      </c>
      <c r="M99" s="7" t="s">
        <v>98</v>
      </c>
      <c r="N99" s="8" t="s">
        <v>98</v>
      </c>
      <c r="O99" s="8" t="s">
        <v>98</v>
      </c>
      <c r="P99" s="8" t="s">
        <v>98</v>
      </c>
      <c r="Q99" s="8" t="s">
        <v>98</v>
      </c>
      <c r="R99" s="8" t="s">
        <v>98</v>
      </c>
      <c r="S99" s="7" t="s">
        <v>97</v>
      </c>
    </row>
    <row r="100" spans="1:19" ht="15.75" x14ac:dyDescent="0.25">
      <c r="A100" s="6">
        <f>Questionnaire!A100</f>
        <v>98</v>
      </c>
      <c r="B100" s="8" t="s">
        <v>98</v>
      </c>
      <c r="C100" s="7" t="s">
        <v>97</v>
      </c>
      <c r="D100" s="7" t="s">
        <v>97</v>
      </c>
      <c r="E100" s="7" t="s">
        <v>97</v>
      </c>
      <c r="F100" s="8" t="s">
        <v>98</v>
      </c>
      <c r="G100" s="8" t="s">
        <v>98</v>
      </c>
      <c r="H100" s="8" t="s">
        <v>98</v>
      </c>
      <c r="I100" s="8" t="s">
        <v>98</v>
      </c>
      <c r="J100" s="8" t="s">
        <v>98</v>
      </c>
      <c r="K100" s="8" t="s">
        <v>98</v>
      </c>
      <c r="L100" s="8" t="s">
        <v>98</v>
      </c>
      <c r="M100" s="7" t="s">
        <v>98</v>
      </c>
      <c r="N100" s="8" t="s">
        <v>98</v>
      </c>
      <c r="O100" s="8" t="s">
        <v>98</v>
      </c>
      <c r="P100" s="8" t="s">
        <v>98</v>
      </c>
      <c r="Q100" s="8" t="s">
        <v>98</v>
      </c>
      <c r="R100" s="8" t="s">
        <v>98</v>
      </c>
      <c r="S100" s="8" t="s">
        <v>98</v>
      </c>
    </row>
    <row r="101" spans="1:19" ht="15.75" x14ac:dyDescent="0.25">
      <c r="A101" s="6">
        <f>Questionnaire!A101</f>
        <v>99</v>
      </c>
      <c r="B101" s="8" t="s">
        <v>98</v>
      </c>
      <c r="C101" s="8" t="s">
        <v>98</v>
      </c>
      <c r="D101" s="8" t="s">
        <v>98</v>
      </c>
      <c r="E101" s="8" t="s">
        <v>98</v>
      </c>
      <c r="F101" s="8" t="s">
        <v>98</v>
      </c>
      <c r="G101" s="7" t="s">
        <v>97</v>
      </c>
      <c r="H101" s="8" t="s">
        <v>98</v>
      </c>
      <c r="I101" s="8" t="s">
        <v>98</v>
      </c>
      <c r="J101" s="8" t="s">
        <v>98</v>
      </c>
      <c r="K101" s="8" t="s">
        <v>98</v>
      </c>
      <c r="L101" s="8" t="s">
        <v>98</v>
      </c>
      <c r="M101" s="7" t="s">
        <v>98</v>
      </c>
      <c r="N101" s="8" t="s">
        <v>98</v>
      </c>
      <c r="O101" s="8" t="s">
        <v>98</v>
      </c>
      <c r="P101" s="8" t="s">
        <v>98</v>
      </c>
      <c r="Q101" s="8" t="s">
        <v>98</v>
      </c>
      <c r="R101" s="8" t="s">
        <v>98</v>
      </c>
      <c r="S101" s="8" t="s">
        <v>98</v>
      </c>
    </row>
    <row r="102" spans="1:19" ht="15.75" x14ac:dyDescent="0.25">
      <c r="A102" s="6">
        <f>Questionnaire!A102</f>
        <v>100</v>
      </c>
      <c r="B102" s="8" t="s">
        <v>98</v>
      </c>
      <c r="C102" s="7" t="s">
        <v>97</v>
      </c>
      <c r="D102" s="8" t="s">
        <v>98</v>
      </c>
      <c r="E102" s="8" t="s">
        <v>98</v>
      </c>
      <c r="F102" s="8" t="s">
        <v>98</v>
      </c>
      <c r="G102" s="7" t="s">
        <v>97</v>
      </c>
      <c r="H102" s="8" t="s">
        <v>98</v>
      </c>
      <c r="I102" s="7" t="s">
        <v>97</v>
      </c>
      <c r="J102" s="8" t="s">
        <v>98</v>
      </c>
      <c r="K102" s="8" t="s">
        <v>98</v>
      </c>
      <c r="L102" s="8" t="s">
        <v>98</v>
      </c>
      <c r="M102" s="7" t="s">
        <v>98</v>
      </c>
      <c r="N102" s="8" t="s">
        <v>98</v>
      </c>
      <c r="O102" s="8" t="s">
        <v>98</v>
      </c>
      <c r="P102" s="8" t="s">
        <v>98</v>
      </c>
      <c r="Q102" s="8" t="s">
        <v>98</v>
      </c>
      <c r="R102" s="8" t="s">
        <v>98</v>
      </c>
      <c r="S102" s="7" t="s">
        <v>97</v>
      </c>
    </row>
    <row r="103" spans="1:19" ht="15.75" x14ac:dyDescent="0.25">
      <c r="A103" s="6">
        <f>Questionnaire!A103</f>
        <v>101</v>
      </c>
      <c r="B103" s="8" t="s">
        <v>98</v>
      </c>
      <c r="C103" s="7" t="s">
        <v>97</v>
      </c>
      <c r="D103" s="7" t="s">
        <v>97</v>
      </c>
      <c r="E103" s="8" t="s">
        <v>98</v>
      </c>
      <c r="F103" s="8" t="s">
        <v>98</v>
      </c>
      <c r="G103" s="8" t="s">
        <v>98</v>
      </c>
      <c r="H103" s="8" t="s">
        <v>98</v>
      </c>
      <c r="I103" s="7" t="s">
        <v>97</v>
      </c>
      <c r="J103" s="7" t="s">
        <v>97</v>
      </c>
      <c r="K103" s="7" t="s">
        <v>97</v>
      </c>
      <c r="L103" s="7" t="s">
        <v>97</v>
      </c>
      <c r="M103" s="7" t="s">
        <v>98</v>
      </c>
      <c r="N103" s="8" t="s">
        <v>98</v>
      </c>
      <c r="O103" s="8" t="s">
        <v>98</v>
      </c>
      <c r="P103" s="8" t="s">
        <v>98</v>
      </c>
      <c r="Q103" s="8" t="s">
        <v>98</v>
      </c>
      <c r="R103" s="8" t="s">
        <v>98</v>
      </c>
      <c r="S103" s="8" t="s">
        <v>98</v>
      </c>
    </row>
    <row r="104" spans="1:19" ht="15.75" x14ac:dyDescent="0.25">
      <c r="A104" s="6">
        <f>Questionnaire!A104</f>
        <v>102</v>
      </c>
      <c r="B104" s="8" t="s">
        <v>98</v>
      </c>
      <c r="C104" s="8" t="s">
        <v>98</v>
      </c>
      <c r="D104" s="8" t="s">
        <v>98</v>
      </c>
      <c r="E104" s="8" t="s">
        <v>98</v>
      </c>
      <c r="F104" s="8" t="s">
        <v>98</v>
      </c>
      <c r="G104" s="7" t="s">
        <v>97</v>
      </c>
      <c r="H104" s="7" t="s">
        <v>97</v>
      </c>
      <c r="I104" s="8" t="s">
        <v>98</v>
      </c>
      <c r="J104" s="7" t="s">
        <v>97</v>
      </c>
      <c r="K104" s="7" t="s">
        <v>97</v>
      </c>
      <c r="L104" s="7" t="s">
        <v>97</v>
      </c>
      <c r="M104" s="7" t="s">
        <v>98</v>
      </c>
      <c r="N104" s="8" t="s">
        <v>98</v>
      </c>
      <c r="O104" s="8" t="s">
        <v>98</v>
      </c>
      <c r="P104" s="8" t="s">
        <v>98</v>
      </c>
      <c r="Q104" s="8" t="s">
        <v>98</v>
      </c>
      <c r="R104" s="8" t="s">
        <v>98</v>
      </c>
      <c r="S104" s="8" t="s">
        <v>98</v>
      </c>
    </row>
    <row r="105" spans="1:19" ht="15.75" x14ac:dyDescent="0.25">
      <c r="A105" s="6">
        <f>Questionnaire!A105</f>
        <v>103</v>
      </c>
      <c r="B105" s="8" t="s">
        <v>98</v>
      </c>
      <c r="C105" s="7" t="s">
        <v>97</v>
      </c>
      <c r="D105" s="7" t="s">
        <v>97</v>
      </c>
      <c r="E105" s="7" t="s">
        <v>97</v>
      </c>
      <c r="F105" s="8" t="s">
        <v>98</v>
      </c>
      <c r="G105" s="8" t="s">
        <v>98</v>
      </c>
      <c r="H105" s="8" t="s">
        <v>98</v>
      </c>
      <c r="I105" s="8" t="s">
        <v>98</v>
      </c>
      <c r="J105" s="8" t="s">
        <v>98</v>
      </c>
      <c r="K105" s="8" t="s">
        <v>98</v>
      </c>
      <c r="L105" s="8" t="s">
        <v>98</v>
      </c>
      <c r="M105" s="7" t="s">
        <v>98</v>
      </c>
      <c r="N105" s="8" t="s">
        <v>98</v>
      </c>
      <c r="O105" s="8" t="s">
        <v>98</v>
      </c>
      <c r="P105" s="8" t="s">
        <v>98</v>
      </c>
      <c r="Q105" s="8" t="s">
        <v>98</v>
      </c>
      <c r="R105" s="8" t="s">
        <v>98</v>
      </c>
      <c r="S105" s="7" t="s">
        <v>97</v>
      </c>
    </row>
    <row r="106" spans="1:19" ht="15.75" x14ac:dyDescent="0.25">
      <c r="A106" s="6">
        <f>Questionnaire!A106</f>
        <v>104</v>
      </c>
      <c r="B106" s="8" t="s">
        <v>98</v>
      </c>
      <c r="C106" s="7" t="s">
        <v>97</v>
      </c>
      <c r="D106" s="7" t="s">
        <v>97</v>
      </c>
      <c r="E106" s="8" t="s">
        <v>98</v>
      </c>
      <c r="F106" s="8" t="s">
        <v>98</v>
      </c>
      <c r="G106" s="8" t="s">
        <v>98</v>
      </c>
      <c r="H106" s="7" t="s">
        <v>97</v>
      </c>
      <c r="I106" s="8" t="s">
        <v>98</v>
      </c>
      <c r="J106" s="8" t="s">
        <v>98</v>
      </c>
      <c r="K106" s="8" t="s">
        <v>98</v>
      </c>
      <c r="L106" s="8" t="s">
        <v>98</v>
      </c>
      <c r="M106" s="8" t="s">
        <v>98</v>
      </c>
      <c r="N106" s="8" t="s">
        <v>98</v>
      </c>
      <c r="O106" s="8" t="s">
        <v>98</v>
      </c>
      <c r="P106" s="8" t="s">
        <v>98</v>
      </c>
      <c r="Q106" s="8" t="s">
        <v>98</v>
      </c>
      <c r="R106" s="8" t="s">
        <v>98</v>
      </c>
      <c r="S106" s="7" t="s">
        <v>97</v>
      </c>
    </row>
    <row r="107" spans="1:19" ht="15.75" x14ac:dyDescent="0.25">
      <c r="A107" s="6">
        <f>Questionnaire!A107</f>
        <v>105</v>
      </c>
      <c r="B107" s="7" t="s">
        <v>97</v>
      </c>
      <c r="C107" s="8" t="s">
        <v>98</v>
      </c>
      <c r="D107" s="8" t="s">
        <v>98</v>
      </c>
      <c r="E107" s="8" t="s">
        <v>98</v>
      </c>
      <c r="F107" s="8" t="s">
        <v>98</v>
      </c>
      <c r="G107" s="8" t="s">
        <v>98</v>
      </c>
      <c r="H107" s="8" t="s">
        <v>98</v>
      </c>
      <c r="I107" s="8" t="s">
        <v>98</v>
      </c>
      <c r="J107" s="8" t="s">
        <v>98</v>
      </c>
      <c r="K107" s="8" t="s">
        <v>98</v>
      </c>
      <c r="L107" s="8" t="s">
        <v>98</v>
      </c>
      <c r="M107" s="8" t="s">
        <v>98</v>
      </c>
      <c r="N107" s="8" t="s">
        <v>98</v>
      </c>
      <c r="O107" s="8" t="s">
        <v>98</v>
      </c>
      <c r="P107" s="8" t="s">
        <v>98</v>
      </c>
      <c r="Q107" s="8" t="s">
        <v>98</v>
      </c>
      <c r="R107" s="8" t="s">
        <v>98</v>
      </c>
      <c r="S107" s="8" t="s">
        <v>98</v>
      </c>
    </row>
    <row r="108" spans="1:19" ht="15.75" x14ac:dyDescent="0.25">
      <c r="A108" s="6">
        <f>Questionnaire!A108</f>
        <v>106</v>
      </c>
      <c r="B108" s="8" t="s">
        <v>98</v>
      </c>
      <c r="C108" s="7" t="s">
        <v>97</v>
      </c>
      <c r="D108" s="8" t="s">
        <v>98</v>
      </c>
      <c r="E108" s="8" t="s">
        <v>98</v>
      </c>
      <c r="F108" s="8" t="s">
        <v>98</v>
      </c>
      <c r="G108" s="8" t="s">
        <v>98</v>
      </c>
      <c r="H108" s="8" t="s">
        <v>98</v>
      </c>
      <c r="I108" s="8" t="s">
        <v>98</v>
      </c>
      <c r="J108" s="8" t="s">
        <v>98</v>
      </c>
      <c r="K108" s="8" t="s">
        <v>98</v>
      </c>
      <c r="L108" s="8" t="s">
        <v>98</v>
      </c>
      <c r="M108" s="8" t="s">
        <v>98</v>
      </c>
      <c r="N108" s="8" t="s">
        <v>98</v>
      </c>
      <c r="O108" s="8" t="s">
        <v>98</v>
      </c>
      <c r="P108" s="8" t="s">
        <v>98</v>
      </c>
      <c r="Q108" s="8" t="s">
        <v>98</v>
      </c>
      <c r="R108" s="8" t="s">
        <v>98</v>
      </c>
      <c r="S108" s="8" t="s">
        <v>98</v>
      </c>
    </row>
    <row r="109" spans="1:19" ht="15.75" x14ac:dyDescent="0.25">
      <c r="A109" s="6">
        <f>Questionnaire!A109</f>
        <v>107</v>
      </c>
      <c r="B109" s="8" t="s">
        <v>98</v>
      </c>
      <c r="C109" s="7" t="s">
        <v>97</v>
      </c>
      <c r="D109" s="8" t="s">
        <v>98</v>
      </c>
      <c r="E109" s="8" t="s">
        <v>98</v>
      </c>
      <c r="F109" s="8" t="s">
        <v>98</v>
      </c>
      <c r="G109" s="8" t="s">
        <v>98</v>
      </c>
      <c r="H109" s="8" t="s">
        <v>98</v>
      </c>
      <c r="I109" s="8" t="s">
        <v>98</v>
      </c>
      <c r="J109" s="8" t="s">
        <v>98</v>
      </c>
      <c r="K109" s="8" t="s">
        <v>98</v>
      </c>
      <c r="L109" s="8" t="s">
        <v>98</v>
      </c>
      <c r="M109" s="8" t="s">
        <v>98</v>
      </c>
      <c r="N109" s="8" t="s">
        <v>98</v>
      </c>
      <c r="O109" s="8" t="s">
        <v>98</v>
      </c>
      <c r="P109" s="8" t="s">
        <v>98</v>
      </c>
      <c r="Q109" s="8" t="s">
        <v>98</v>
      </c>
      <c r="R109" s="8" t="s">
        <v>98</v>
      </c>
      <c r="S109" s="8" t="s">
        <v>98</v>
      </c>
    </row>
    <row r="110" spans="1:19" ht="15.75" x14ac:dyDescent="0.25">
      <c r="A110" s="6">
        <f>Questionnaire!A110</f>
        <v>108</v>
      </c>
      <c r="B110" s="8" t="s">
        <v>98</v>
      </c>
      <c r="C110" s="7" t="s">
        <v>97</v>
      </c>
      <c r="D110" s="7" t="s">
        <v>97</v>
      </c>
      <c r="E110" s="8" t="s">
        <v>98</v>
      </c>
      <c r="F110" s="8" t="s">
        <v>98</v>
      </c>
      <c r="G110" s="8" t="s">
        <v>98</v>
      </c>
      <c r="H110" s="8" t="s">
        <v>98</v>
      </c>
      <c r="I110" s="7" t="s">
        <v>97</v>
      </c>
      <c r="J110" s="7" t="s">
        <v>97</v>
      </c>
      <c r="K110" s="8" t="s">
        <v>98</v>
      </c>
      <c r="L110" s="8" t="s">
        <v>98</v>
      </c>
      <c r="M110" s="8" t="s">
        <v>98</v>
      </c>
      <c r="N110" s="7" t="s">
        <v>97</v>
      </c>
      <c r="O110" s="8" t="s">
        <v>98</v>
      </c>
      <c r="P110" s="8" t="s">
        <v>98</v>
      </c>
      <c r="Q110" s="7" t="s">
        <v>97</v>
      </c>
      <c r="R110" s="8" t="s">
        <v>98</v>
      </c>
      <c r="S110" s="8" t="s">
        <v>98</v>
      </c>
    </row>
    <row r="111" spans="1:19" ht="15.75" x14ac:dyDescent="0.25">
      <c r="A111" s="6">
        <f>Questionnaire!A111</f>
        <v>109</v>
      </c>
      <c r="B111" s="8" t="s">
        <v>98</v>
      </c>
      <c r="C111" s="8" t="s">
        <v>98</v>
      </c>
      <c r="D111" s="8" t="s">
        <v>98</v>
      </c>
      <c r="E111" s="8" t="s">
        <v>98</v>
      </c>
      <c r="F111" s="8" t="s">
        <v>98</v>
      </c>
      <c r="G111" s="7" t="s">
        <v>97</v>
      </c>
      <c r="H111" s="8" t="s">
        <v>98</v>
      </c>
      <c r="I111" s="8" t="s">
        <v>98</v>
      </c>
      <c r="J111" s="8" t="s">
        <v>98</v>
      </c>
      <c r="K111" s="8" t="s">
        <v>98</v>
      </c>
      <c r="L111" s="8" t="s">
        <v>98</v>
      </c>
      <c r="M111" s="8" t="s">
        <v>98</v>
      </c>
      <c r="N111" s="8" t="s">
        <v>98</v>
      </c>
      <c r="O111" s="8" t="s">
        <v>98</v>
      </c>
      <c r="P111" s="8" t="s">
        <v>98</v>
      </c>
      <c r="Q111" s="8" t="s">
        <v>98</v>
      </c>
      <c r="R111" s="8" t="s">
        <v>98</v>
      </c>
      <c r="S111" s="8" t="s">
        <v>98</v>
      </c>
    </row>
    <row r="112" spans="1:19" ht="15.75" x14ac:dyDescent="0.25">
      <c r="A112" s="6">
        <f>Questionnaire!A112</f>
        <v>110</v>
      </c>
      <c r="B112" s="8" t="s">
        <v>98</v>
      </c>
      <c r="C112" s="7" t="s">
        <v>97</v>
      </c>
      <c r="D112" s="7" t="s">
        <v>97</v>
      </c>
      <c r="E112" s="8" t="s">
        <v>98</v>
      </c>
      <c r="F112" s="8" t="s">
        <v>98</v>
      </c>
      <c r="G112" s="8" t="s">
        <v>98</v>
      </c>
      <c r="H112" s="7" t="s">
        <v>97</v>
      </c>
      <c r="I112" s="8" t="s">
        <v>98</v>
      </c>
      <c r="J112" s="8" t="s">
        <v>98</v>
      </c>
      <c r="K112" s="8" t="s">
        <v>98</v>
      </c>
      <c r="L112" s="8" t="s">
        <v>98</v>
      </c>
      <c r="M112" s="8" t="s">
        <v>98</v>
      </c>
      <c r="N112" s="8" t="s">
        <v>98</v>
      </c>
      <c r="O112" s="8" t="s">
        <v>98</v>
      </c>
      <c r="P112" s="8" t="s">
        <v>98</v>
      </c>
      <c r="Q112" s="8" t="s">
        <v>98</v>
      </c>
      <c r="R112" s="8" t="s">
        <v>98</v>
      </c>
      <c r="S112" s="8" t="s">
        <v>98</v>
      </c>
    </row>
    <row r="113" spans="1:19" ht="15.75" x14ac:dyDescent="0.25">
      <c r="A113" s="6">
        <f>Questionnaire!A113</f>
        <v>111</v>
      </c>
      <c r="B113" s="8" t="s">
        <v>98</v>
      </c>
      <c r="C113" s="7" t="s">
        <v>97</v>
      </c>
      <c r="D113" s="7" t="s">
        <v>97</v>
      </c>
      <c r="E113" s="7" t="s">
        <v>97</v>
      </c>
      <c r="F113" s="8" t="s">
        <v>98</v>
      </c>
      <c r="G113" s="8" t="s">
        <v>98</v>
      </c>
      <c r="H113" s="8" t="s">
        <v>98</v>
      </c>
      <c r="I113" s="7" t="s">
        <v>97</v>
      </c>
      <c r="J113" s="8" t="s">
        <v>98</v>
      </c>
      <c r="K113" s="7" t="s">
        <v>97</v>
      </c>
      <c r="L113" s="7" t="s">
        <v>97</v>
      </c>
      <c r="M113" s="8" t="s">
        <v>98</v>
      </c>
      <c r="N113" s="8" t="s">
        <v>98</v>
      </c>
      <c r="O113" s="8" t="s">
        <v>98</v>
      </c>
      <c r="P113" s="8" t="s">
        <v>98</v>
      </c>
      <c r="Q113" s="8" t="s">
        <v>98</v>
      </c>
      <c r="R113" s="8" t="s">
        <v>98</v>
      </c>
      <c r="S113" s="8" t="s">
        <v>98</v>
      </c>
    </row>
    <row r="114" spans="1:19" ht="15.75" x14ac:dyDescent="0.25">
      <c r="A114" s="6">
        <f>Questionnaire!A114</f>
        <v>112</v>
      </c>
      <c r="B114" s="8" t="s">
        <v>98</v>
      </c>
      <c r="C114" s="7" t="s">
        <v>97</v>
      </c>
      <c r="D114" s="8" t="s">
        <v>98</v>
      </c>
      <c r="E114" s="8" t="s">
        <v>98</v>
      </c>
      <c r="F114" s="8" t="s">
        <v>98</v>
      </c>
      <c r="G114" s="7" t="s">
        <v>97</v>
      </c>
      <c r="H114" s="8" t="s">
        <v>98</v>
      </c>
      <c r="I114" s="8" t="s">
        <v>98</v>
      </c>
      <c r="J114" s="7" t="s">
        <v>97</v>
      </c>
      <c r="K114" s="7" t="s">
        <v>97</v>
      </c>
      <c r="L114" s="7" t="s">
        <v>97</v>
      </c>
      <c r="M114" s="8" t="s">
        <v>98</v>
      </c>
      <c r="N114" s="8" t="s">
        <v>98</v>
      </c>
      <c r="O114" s="8" t="s">
        <v>98</v>
      </c>
      <c r="P114" s="8" t="s">
        <v>98</v>
      </c>
      <c r="Q114" s="8" t="s">
        <v>98</v>
      </c>
      <c r="R114" s="8" t="s">
        <v>98</v>
      </c>
      <c r="S114" s="8" t="s">
        <v>98</v>
      </c>
    </row>
    <row r="115" spans="1:19" ht="15.75" x14ac:dyDescent="0.25">
      <c r="A115" s="6">
        <f>Questionnaire!A115</f>
        <v>113</v>
      </c>
      <c r="B115" s="8" t="s">
        <v>98</v>
      </c>
      <c r="C115" s="7" t="s">
        <v>97</v>
      </c>
      <c r="D115" s="8" t="s">
        <v>98</v>
      </c>
      <c r="E115" s="8" t="s">
        <v>98</v>
      </c>
      <c r="F115" s="8" t="s">
        <v>98</v>
      </c>
      <c r="G115" s="7" t="s">
        <v>97</v>
      </c>
      <c r="H115" s="7" t="s">
        <v>97</v>
      </c>
      <c r="I115" s="8" t="s">
        <v>98</v>
      </c>
      <c r="J115" s="8" t="s">
        <v>98</v>
      </c>
      <c r="K115" s="8" t="s">
        <v>98</v>
      </c>
      <c r="L115" s="8" t="s">
        <v>98</v>
      </c>
      <c r="M115" s="8" t="s">
        <v>98</v>
      </c>
      <c r="N115" s="8" t="s">
        <v>98</v>
      </c>
      <c r="O115" s="8" t="s">
        <v>98</v>
      </c>
      <c r="P115" s="8" t="s">
        <v>98</v>
      </c>
      <c r="Q115" s="8" t="s">
        <v>98</v>
      </c>
      <c r="R115" s="8" t="s">
        <v>98</v>
      </c>
      <c r="S115" s="8" t="s">
        <v>98</v>
      </c>
    </row>
    <row r="116" spans="1:19" ht="15.75" x14ac:dyDescent="0.25">
      <c r="A116" s="6">
        <f>Questionnaire!A116</f>
        <v>114</v>
      </c>
      <c r="B116" s="8" t="s">
        <v>98</v>
      </c>
      <c r="C116" s="8" t="s">
        <v>98</v>
      </c>
      <c r="D116" s="8" t="s">
        <v>98</v>
      </c>
      <c r="E116" s="8" t="s">
        <v>98</v>
      </c>
      <c r="F116" s="8" t="s">
        <v>98</v>
      </c>
      <c r="G116" s="7" t="s">
        <v>97</v>
      </c>
      <c r="H116" s="8" t="s">
        <v>98</v>
      </c>
      <c r="I116" s="8" t="s">
        <v>98</v>
      </c>
      <c r="J116" s="8" t="s">
        <v>98</v>
      </c>
      <c r="K116" s="8" t="s">
        <v>98</v>
      </c>
      <c r="L116" s="8" t="s">
        <v>98</v>
      </c>
      <c r="M116" s="8" t="s">
        <v>98</v>
      </c>
      <c r="N116" s="8" t="s">
        <v>98</v>
      </c>
      <c r="O116" s="8" t="s">
        <v>98</v>
      </c>
      <c r="P116" s="8" t="s">
        <v>98</v>
      </c>
      <c r="Q116" s="8" t="s">
        <v>98</v>
      </c>
      <c r="R116" s="8" t="s">
        <v>98</v>
      </c>
      <c r="S116" s="8" t="s">
        <v>98</v>
      </c>
    </row>
    <row r="117" spans="1:19" ht="15.75" x14ac:dyDescent="0.25">
      <c r="A117" s="6">
        <f>Questionnaire!A117</f>
        <v>115</v>
      </c>
      <c r="B117" s="8" t="s">
        <v>98</v>
      </c>
      <c r="C117" s="8" t="s">
        <v>98</v>
      </c>
      <c r="D117" s="8" t="s">
        <v>98</v>
      </c>
      <c r="E117" s="8" t="s">
        <v>98</v>
      </c>
      <c r="F117" s="8" t="s">
        <v>98</v>
      </c>
      <c r="G117" s="7" t="s">
        <v>97</v>
      </c>
      <c r="H117" s="7" t="s">
        <v>97</v>
      </c>
      <c r="I117" s="8" t="s">
        <v>98</v>
      </c>
      <c r="J117" s="7" t="s">
        <v>97</v>
      </c>
      <c r="K117" s="7" t="s">
        <v>97</v>
      </c>
      <c r="L117" s="7" t="s">
        <v>97</v>
      </c>
      <c r="M117" s="8" t="s">
        <v>98</v>
      </c>
      <c r="N117" s="8" t="s">
        <v>98</v>
      </c>
      <c r="O117" s="8" t="s">
        <v>98</v>
      </c>
      <c r="P117" s="8" t="s">
        <v>98</v>
      </c>
      <c r="Q117" s="8" t="s">
        <v>98</v>
      </c>
      <c r="R117" s="8" t="s">
        <v>98</v>
      </c>
      <c r="S117" s="7" t="s">
        <v>97</v>
      </c>
    </row>
    <row r="118" spans="1:19" ht="15.75" x14ac:dyDescent="0.25">
      <c r="A118" s="6">
        <f>Questionnaire!A118</f>
        <v>116</v>
      </c>
      <c r="B118" s="8" t="s">
        <v>98</v>
      </c>
      <c r="C118" s="8" t="s">
        <v>98</v>
      </c>
      <c r="D118" s="8" t="s">
        <v>98</v>
      </c>
      <c r="E118" s="8" t="s">
        <v>98</v>
      </c>
      <c r="F118" s="8" t="s">
        <v>98</v>
      </c>
      <c r="G118" s="7" t="s">
        <v>97</v>
      </c>
      <c r="H118" s="8" t="s">
        <v>98</v>
      </c>
      <c r="I118" s="8" t="s">
        <v>98</v>
      </c>
      <c r="J118" s="8" t="s">
        <v>98</v>
      </c>
      <c r="K118" s="8" t="s">
        <v>98</v>
      </c>
      <c r="L118" s="8" t="s">
        <v>98</v>
      </c>
      <c r="M118" s="8" t="s">
        <v>98</v>
      </c>
      <c r="N118" s="8" t="s">
        <v>98</v>
      </c>
      <c r="O118" s="8" t="s">
        <v>98</v>
      </c>
      <c r="P118" s="8" t="s">
        <v>98</v>
      </c>
      <c r="Q118" s="8" t="s">
        <v>98</v>
      </c>
      <c r="R118" s="8" t="s">
        <v>98</v>
      </c>
      <c r="S118" s="8" t="s">
        <v>98</v>
      </c>
    </row>
    <row r="119" spans="1:19" ht="15.75" x14ac:dyDescent="0.25">
      <c r="A119" s="6">
        <f>Questionnaire!A119</f>
        <v>117</v>
      </c>
      <c r="B119" s="8" t="s">
        <v>98</v>
      </c>
      <c r="C119" s="7" t="s">
        <v>97</v>
      </c>
      <c r="D119" s="7" t="s">
        <v>97</v>
      </c>
      <c r="E119" s="8" t="s">
        <v>98</v>
      </c>
      <c r="F119" s="8" t="s">
        <v>98</v>
      </c>
      <c r="G119" s="8" t="s">
        <v>98</v>
      </c>
      <c r="H119" s="7" t="s">
        <v>97</v>
      </c>
      <c r="I119" s="8" t="s">
        <v>98</v>
      </c>
      <c r="J119" s="7" t="s">
        <v>97</v>
      </c>
      <c r="K119" s="8" t="s">
        <v>98</v>
      </c>
      <c r="L119" s="8" t="s">
        <v>98</v>
      </c>
      <c r="M119" s="8" t="s">
        <v>98</v>
      </c>
      <c r="N119" s="8" t="s">
        <v>98</v>
      </c>
      <c r="O119" s="8" t="s">
        <v>98</v>
      </c>
      <c r="P119" s="8" t="s">
        <v>98</v>
      </c>
      <c r="Q119" s="8" t="s">
        <v>98</v>
      </c>
      <c r="R119" s="8" t="s">
        <v>98</v>
      </c>
      <c r="S119" s="8" t="s">
        <v>98</v>
      </c>
    </row>
    <row r="120" spans="1:19" ht="15.75" x14ac:dyDescent="0.25">
      <c r="A120" s="6">
        <f>Questionnaire!A120</f>
        <v>118</v>
      </c>
      <c r="B120" s="8" t="s">
        <v>98</v>
      </c>
      <c r="C120" s="7" t="s">
        <v>97</v>
      </c>
      <c r="D120" s="8" t="s">
        <v>98</v>
      </c>
      <c r="E120" s="8" t="s">
        <v>98</v>
      </c>
      <c r="F120" s="8" t="s">
        <v>98</v>
      </c>
      <c r="G120" s="8" t="s">
        <v>98</v>
      </c>
      <c r="H120" s="8" t="s">
        <v>98</v>
      </c>
      <c r="I120" s="8" t="s">
        <v>98</v>
      </c>
      <c r="J120" s="7" t="s">
        <v>97</v>
      </c>
      <c r="K120" s="8" t="s">
        <v>98</v>
      </c>
      <c r="L120" s="7" t="s">
        <v>97</v>
      </c>
      <c r="M120" s="8" t="s">
        <v>98</v>
      </c>
      <c r="N120" s="8" t="s">
        <v>98</v>
      </c>
      <c r="O120" s="8" t="s">
        <v>98</v>
      </c>
      <c r="P120" s="8" t="s">
        <v>98</v>
      </c>
      <c r="Q120" s="8" t="s">
        <v>98</v>
      </c>
      <c r="R120" s="8" t="s">
        <v>98</v>
      </c>
      <c r="S120" s="8" t="s">
        <v>98</v>
      </c>
    </row>
    <row r="121" spans="1:19" ht="15.75" x14ac:dyDescent="0.25">
      <c r="A121" s="6">
        <f>Questionnaire!A121</f>
        <v>119</v>
      </c>
      <c r="B121" s="8" t="s">
        <v>98</v>
      </c>
      <c r="C121" s="7" t="s">
        <v>97</v>
      </c>
      <c r="D121" s="8" t="s">
        <v>98</v>
      </c>
      <c r="E121" s="8" t="s">
        <v>98</v>
      </c>
      <c r="F121" s="8" t="s">
        <v>98</v>
      </c>
      <c r="G121" s="8" t="s">
        <v>98</v>
      </c>
      <c r="H121" s="8" t="s">
        <v>98</v>
      </c>
      <c r="I121" s="7" t="s">
        <v>97</v>
      </c>
      <c r="J121" s="7" t="s">
        <v>97</v>
      </c>
      <c r="K121" s="7" t="s">
        <v>97</v>
      </c>
      <c r="L121" s="7" t="s">
        <v>97</v>
      </c>
      <c r="M121" s="8" t="s">
        <v>98</v>
      </c>
      <c r="N121" s="8" t="s">
        <v>98</v>
      </c>
      <c r="O121" s="8" t="s">
        <v>98</v>
      </c>
      <c r="P121" s="8" t="s">
        <v>98</v>
      </c>
      <c r="Q121" s="8" t="s">
        <v>98</v>
      </c>
      <c r="R121" s="8" t="s">
        <v>98</v>
      </c>
      <c r="S121" s="8" t="s">
        <v>98</v>
      </c>
    </row>
    <row r="122" spans="1:19" ht="15.75" x14ac:dyDescent="0.25">
      <c r="A122" s="6">
        <f>Questionnaire!A122</f>
        <v>120</v>
      </c>
      <c r="B122" s="8" t="s">
        <v>98</v>
      </c>
      <c r="C122" s="7" t="s">
        <v>97</v>
      </c>
      <c r="D122" s="7" t="s">
        <v>97</v>
      </c>
      <c r="E122" s="8" t="s">
        <v>98</v>
      </c>
      <c r="F122" s="8" t="s">
        <v>98</v>
      </c>
      <c r="G122" s="8" t="s">
        <v>98</v>
      </c>
      <c r="H122" s="7" t="s">
        <v>97</v>
      </c>
      <c r="I122" s="8" t="s">
        <v>98</v>
      </c>
      <c r="J122" s="8" t="s">
        <v>98</v>
      </c>
      <c r="K122" s="8" t="s">
        <v>98</v>
      </c>
      <c r="L122" s="8" t="s">
        <v>98</v>
      </c>
      <c r="M122" s="8" t="s">
        <v>98</v>
      </c>
      <c r="N122" s="8" t="s">
        <v>98</v>
      </c>
      <c r="O122" s="8" t="s">
        <v>98</v>
      </c>
      <c r="P122" s="8" t="s">
        <v>98</v>
      </c>
      <c r="Q122" s="8" t="s">
        <v>98</v>
      </c>
      <c r="R122" s="8" t="s">
        <v>98</v>
      </c>
      <c r="S122" s="8" t="s">
        <v>98</v>
      </c>
    </row>
    <row r="123" spans="1:19" ht="15.75" x14ac:dyDescent="0.25">
      <c r="A123" s="6">
        <f>Questionnaire!A123</f>
        <v>121</v>
      </c>
      <c r="B123" s="8" t="s">
        <v>98</v>
      </c>
      <c r="C123" s="8" t="s">
        <v>98</v>
      </c>
      <c r="D123" s="8" t="s">
        <v>98</v>
      </c>
      <c r="E123" s="8" t="s">
        <v>98</v>
      </c>
      <c r="F123" s="8" t="s">
        <v>98</v>
      </c>
      <c r="G123" s="7" t="s">
        <v>97</v>
      </c>
      <c r="H123" s="8" t="s">
        <v>98</v>
      </c>
      <c r="I123" s="8" t="s">
        <v>98</v>
      </c>
      <c r="J123" s="8" t="s">
        <v>98</v>
      </c>
      <c r="K123" s="8" t="s">
        <v>98</v>
      </c>
      <c r="L123" s="8" t="s">
        <v>98</v>
      </c>
      <c r="M123" s="8" t="s">
        <v>98</v>
      </c>
      <c r="N123" s="8" t="s">
        <v>98</v>
      </c>
      <c r="O123" s="8" t="s">
        <v>98</v>
      </c>
      <c r="P123" s="8" t="s">
        <v>98</v>
      </c>
      <c r="Q123" s="8" t="s">
        <v>98</v>
      </c>
      <c r="R123" s="8" t="s">
        <v>98</v>
      </c>
      <c r="S123" s="8" t="s">
        <v>98</v>
      </c>
    </row>
    <row r="124" spans="1:19" ht="15.75" x14ac:dyDescent="0.25">
      <c r="A124" s="6">
        <f>Questionnaire!A124</f>
        <v>122</v>
      </c>
      <c r="B124" s="8" t="s">
        <v>98</v>
      </c>
      <c r="C124" s="7" t="s">
        <v>97</v>
      </c>
      <c r="D124" s="8" t="s">
        <v>98</v>
      </c>
      <c r="E124" s="8" t="s">
        <v>98</v>
      </c>
      <c r="F124" s="8" t="s">
        <v>98</v>
      </c>
      <c r="G124" s="7" t="s">
        <v>97</v>
      </c>
      <c r="H124" s="8" t="s">
        <v>98</v>
      </c>
      <c r="I124" s="7" t="s">
        <v>97</v>
      </c>
      <c r="J124" s="8" t="s">
        <v>98</v>
      </c>
      <c r="K124" s="8" t="s">
        <v>98</v>
      </c>
      <c r="L124" s="8" t="s">
        <v>98</v>
      </c>
      <c r="M124" s="8" t="s">
        <v>98</v>
      </c>
      <c r="N124" s="8" t="s">
        <v>98</v>
      </c>
      <c r="O124" s="8" t="s">
        <v>98</v>
      </c>
      <c r="P124" s="8" t="s">
        <v>98</v>
      </c>
      <c r="Q124" s="8" t="s">
        <v>98</v>
      </c>
      <c r="R124" s="8" t="s">
        <v>98</v>
      </c>
      <c r="S124" s="8" t="s">
        <v>98</v>
      </c>
    </row>
    <row r="125" spans="1:19" ht="15.75" x14ac:dyDescent="0.25">
      <c r="A125" s="6">
        <f>Questionnaire!A125</f>
        <v>123</v>
      </c>
      <c r="B125" s="8" t="s">
        <v>98</v>
      </c>
      <c r="C125" s="8" t="s">
        <v>98</v>
      </c>
      <c r="D125" s="7" t="s">
        <v>97</v>
      </c>
      <c r="E125" s="8" t="s">
        <v>98</v>
      </c>
      <c r="F125" s="8" t="s">
        <v>98</v>
      </c>
      <c r="G125" s="8" t="s">
        <v>98</v>
      </c>
      <c r="H125" s="7" t="s">
        <v>97</v>
      </c>
      <c r="I125" s="8" t="s">
        <v>98</v>
      </c>
      <c r="J125" s="8" t="s">
        <v>98</v>
      </c>
      <c r="K125" s="8" t="s">
        <v>98</v>
      </c>
      <c r="L125" s="8" t="s">
        <v>98</v>
      </c>
      <c r="M125" s="8" t="s">
        <v>98</v>
      </c>
      <c r="N125" s="8" t="s">
        <v>98</v>
      </c>
      <c r="O125" s="8" t="s">
        <v>98</v>
      </c>
      <c r="P125" s="8" t="s">
        <v>98</v>
      </c>
      <c r="Q125" s="8" t="s">
        <v>98</v>
      </c>
      <c r="R125" s="8" t="s">
        <v>98</v>
      </c>
      <c r="S125" s="8" t="s">
        <v>98</v>
      </c>
    </row>
    <row r="126" spans="1:19" ht="15.75" x14ac:dyDescent="0.25">
      <c r="A126" s="6">
        <f>Questionnaire!A126</f>
        <v>124</v>
      </c>
      <c r="B126" s="8" t="s">
        <v>98</v>
      </c>
      <c r="C126" s="8" t="s">
        <v>98</v>
      </c>
      <c r="D126" s="8" t="s">
        <v>98</v>
      </c>
      <c r="E126" s="8" t="s">
        <v>98</v>
      </c>
      <c r="F126" s="8" t="s">
        <v>98</v>
      </c>
      <c r="G126" s="8" t="s">
        <v>98</v>
      </c>
      <c r="H126" s="8" t="s">
        <v>98</v>
      </c>
      <c r="I126" s="8" t="s">
        <v>98</v>
      </c>
      <c r="J126" s="8" t="s">
        <v>98</v>
      </c>
      <c r="K126" s="8" t="s">
        <v>98</v>
      </c>
      <c r="L126" s="8" t="s">
        <v>98</v>
      </c>
      <c r="M126" s="8" t="s">
        <v>98</v>
      </c>
      <c r="N126" s="8" t="s">
        <v>98</v>
      </c>
      <c r="O126" s="8" t="s">
        <v>98</v>
      </c>
      <c r="P126" s="8" t="s">
        <v>98</v>
      </c>
      <c r="Q126" s="8" t="s">
        <v>98</v>
      </c>
      <c r="R126" s="8" t="s">
        <v>98</v>
      </c>
      <c r="S126" s="8" t="s">
        <v>98</v>
      </c>
    </row>
    <row r="127" spans="1:19" ht="15.75" x14ac:dyDescent="0.25">
      <c r="A127" s="6">
        <f>Questionnaire!A127</f>
        <v>125</v>
      </c>
      <c r="B127" s="8" t="s">
        <v>98</v>
      </c>
      <c r="C127" s="7" t="s">
        <v>97</v>
      </c>
      <c r="D127" s="8" t="s">
        <v>98</v>
      </c>
      <c r="E127" s="8" t="s">
        <v>98</v>
      </c>
      <c r="F127" s="8" t="s">
        <v>98</v>
      </c>
      <c r="G127" s="8" t="s">
        <v>98</v>
      </c>
      <c r="H127" s="7" t="s">
        <v>97</v>
      </c>
      <c r="I127" s="8" t="s">
        <v>98</v>
      </c>
      <c r="J127" s="8" t="s">
        <v>98</v>
      </c>
      <c r="K127" s="7" t="s">
        <v>97</v>
      </c>
      <c r="L127" s="7" t="s">
        <v>97</v>
      </c>
      <c r="M127" s="8" t="s">
        <v>98</v>
      </c>
      <c r="N127" s="8" t="s">
        <v>98</v>
      </c>
      <c r="O127" s="8" t="s">
        <v>98</v>
      </c>
      <c r="P127" s="8" t="s">
        <v>98</v>
      </c>
      <c r="Q127" s="8" t="s">
        <v>98</v>
      </c>
      <c r="R127" s="8" t="s">
        <v>98</v>
      </c>
      <c r="S127" s="8" t="s">
        <v>98</v>
      </c>
    </row>
    <row r="128" spans="1:19" ht="15.75" x14ac:dyDescent="0.25">
      <c r="A128" s="6">
        <f>Questionnaire!A128</f>
        <v>126</v>
      </c>
      <c r="B128" s="8" t="s">
        <v>98</v>
      </c>
      <c r="C128" s="7" t="s">
        <v>97</v>
      </c>
      <c r="D128" s="8" t="s">
        <v>98</v>
      </c>
      <c r="E128" s="8" t="s">
        <v>98</v>
      </c>
      <c r="F128" s="8" t="s">
        <v>98</v>
      </c>
      <c r="G128" s="7" t="s">
        <v>97</v>
      </c>
      <c r="H128" s="7" t="s">
        <v>97</v>
      </c>
      <c r="I128" s="8" t="s">
        <v>98</v>
      </c>
      <c r="J128" s="8" t="s">
        <v>98</v>
      </c>
      <c r="K128" s="8" t="s">
        <v>98</v>
      </c>
      <c r="L128" s="7" t="s">
        <v>97</v>
      </c>
      <c r="M128" s="8" t="s">
        <v>98</v>
      </c>
      <c r="N128" s="8" t="s">
        <v>98</v>
      </c>
      <c r="O128" s="7" t="s">
        <v>97</v>
      </c>
      <c r="P128" s="8" t="s">
        <v>98</v>
      </c>
      <c r="Q128" s="8" t="s">
        <v>98</v>
      </c>
      <c r="R128" s="8" t="s">
        <v>98</v>
      </c>
      <c r="S128" s="8" t="s">
        <v>98</v>
      </c>
    </row>
    <row r="129" spans="1:19" ht="15.75" x14ac:dyDescent="0.25">
      <c r="A129" s="6">
        <f>Questionnaire!A129</f>
        <v>127</v>
      </c>
      <c r="B129" s="8" t="s">
        <v>98</v>
      </c>
      <c r="C129" s="7" t="s">
        <v>97</v>
      </c>
      <c r="D129" s="8" t="s">
        <v>98</v>
      </c>
      <c r="E129" s="8" t="s">
        <v>98</v>
      </c>
      <c r="F129" s="8" t="s">
        <v>98</v>
      </c>
      <c r="G129" s="8" t="s">
        <v>98</v>
      </c>
      <c r="H129" s="7" t="s">
        <v>97</v>
      </c>
      <c r="I129" s="7" t="s">
        <v>97</v>
      </c>
      <c r="J129" s="8" t="s">
        <v>98</v>
      </c>
      <c r="K129" s="8" t="s">
        <v>98</v>
      </c>
      <c r="L129" s="7" t="s">
        <v>97</v>
      </c>
      <c r="M129" s="8" t="s">
        <v>98</v>
      </c>
      <c r="N129" s="8" t="s">
        <v>98</v>
      </c>
      <c r="O129" s="8" t="s">
        <v>98</v>
      </c>
      <c r="P129" s="8" t="s">
        <v>98</v>
      </c>
      <c r="Q129" s="8" t="s">
        <v>98</v>
      </c>
      <c r="R129" s="8" t="s">
        <v>98</v>
      </c>
      <c r="S129" s="8" t="s">
        <v>98</v>
      </c>
    </row>
    <row r="130" spans="1:19" ht="15.75" x14ac:dyDescent="0.25">
      <c r="A130" s="6">
        <f>Questionnaire!A130</f>
        <v>128</v>
      </c>
      <c r="B130" s="8" t="s">
        <v>98</v>
      </c>
      <c r="C130" s="7" t="s">
        <v>97</v>
      </c>
      <c r="D130" s="7" t="s">
        <v>97</v>
      </c>
      <c r="E130" s="8" t="s">
        <v>98</v>
      </c>
      <c r="F130" s="8" t="s">
        <v>98</v>
      </c>
      <c r="G130" s="8" t="s">
        <v>98</v>
      </c>
      <c r="H130" s="8" t="s">
        <v>98</v>
      </c>
      <c r="I130" s="7" t="s">
        <v>97</v>
      </c>
      <c r="J130" s="7" t="s">
        <v>97</v>
      </c>
      <c r="K130" s="8" t="s">
        <v>98</v>
      </c>
      <c r="L130" s="7" t="s">
        <v>97</v>
      </c>
      <c r="M130" s="8" t="s">
        <v>98</v>
      </c>
      <c r="N130" s="8" t="s">
        <v>98</v>
      </c>
      <c r="O130" s="8" t="s">
        <v>98</v>
      </c>
      <c r="P130" s="8" t="s">
        <v>98</v>
      </c>
      <c r="Q130" s="8" t="s">
        <v>98</v>
      </c>
      <c r="R130" s="8" t="s">
        <v>98</v>
      </c>
      <c r="S130" s="8" t="s">
        <v>98</v>
      </c>
    </row>
    <row r="131" spans="1:19" ht="15.75" x14ac:dyDescent="0.25">
      <c r="A131" s="6">
        <f>Questionnaire!A131</f>
        <v>129</v>
      </c>
      <c r="B131" s="7" t="s">
        <v>97</v>
      </c>
      <c r="C131" s="8" t="s">
        <v>98</v>
      </c>
      <c r="D131" s="8" t="s">
        <v>98</v>
      </c>
      <c r="E131" s="8" t="s">
        <v>98</v>
      </c>
      <c r="F131" s="8" t="s">
        <v>98</v>
      </c>
      <c r="G131" s="8" t="s">
        <v>98</v>
      </c>
      <c r="H131" s="7" t="s">
        <v>97</v>
      </c>
      <c r="I131" s="8" t="s">
        <v>98</v>
      </c>
      <c r="J131" s="8" t="s">
        <v>98</v>
      </c>
      <c r="K131" s="7" t="s">
        <v>97</v>
      </c>
      <c r="L131" s="7" t="s">
        <v>97</v>
      </c>
      <c r="M131" s="8" t="s">
        <v>98</v>
      </c>
      <c r="N131" s="8" t="s">
        <v>98</v>
      </c>
      <c r="O131" s="8" t="s">
        <v>98</v>
      </c>
      <c r="P131" s="8" t="s">
        <v>98</v>
      </c>
      <c r="Q131" s="8" t="s">
        <v>98</v>
      </c>
      <c r="R131" s="8" t="s">
        <v>98</v>
      </c>
      <c r="S131" s="8" t="s">
        <v>98</v>
      </c>
    </row>
    <row r="132" spans="1:19" ht="15.75" x14ac:dyDescent="0.25">
      <c r="A132" s="61">
        <f>Questionnaire!A132</f>
        <v>130</v>
      </c>
      <c r="B132" s="59" t="s">
        <v>98</v>
      </c>
      <c r="C132" s="57" t="s">
        <v>97</v>
      </c>
      <c r="D132" s="59" t="s">
        <v>98</v>
      </c>
      <c r="E132" s="59" t="s">
        <v>98</v>
      </c>
      <c r="F132" s="59" t="s">
        <v>98</v>
      </c>
      <c r="G132" s="59" t="s">
        <v>98</v>
      </c>
      <c r="H132" s="59" t="s">
        <v>98</v>
      </c>
      <c r="I132" s="59" t="s">
        <v>98</v>
      </c>
      <c r="J132" s="59" t="s">
        <v>98</v>
      </c>
      <c r="K132" s="59" t="s">
        <v>98</v>
      </c>
      <c r="L132" s="59" t="s">
        <v>98</v>
      </c>
      <c r="M132" s="59" t="s">
        <v>98</v>
      </c>
      <c r="N132" s="59" t="s">
        <v>98</v>
      </c>
      <c r="O132" s="59" t="s">
        <v>98</v>
      </c>
      <c r="P132" s="59" t="s">
        <v>98</v>
      </c>
      <c r="Q132" s="8" t="s">
        <v>98</v>
      </c>
      <c r="R132" s="59" t="s">
        <v>98</v>
      </c>
      <c r="S132" s="59" t="s">
        <v>98</v>
      </c>
    </row>
    <row r="133" spans="1:19" ht="15.75" x14ac:dyDescent="0.25">
      <c r="A133" s="6">
        <f>Questionnaire!A133</f>
        <v>131</v>
      </c>
      <c r="B133" s="8" t="s">
        <v>98</v>
      </c>
      <c r="C133" s="7" t="s">
        <v>97</v>
      </c>
      <c r="D133" s="8" t="s">
        <v>98</v>
      </c>
      <c r="E133" s="8" t="s">
        <v>98</v>
      </c>
      <c r="F133" s="8" t="s">
        <v>98</v>
      </c>
      <c r="G133" s="8" t="s">
        <v>98</v>
      </c>
      <c r="H133" s="7" t="s">
        <v>97</v>
      </c>
      <c r="I133" s="8" t="s">
        <v>98</v>
      </c>
      <c r="J133" s="7" t="s">
        <v>97</v>
      </c>
      <c r="K133" s="8" t="s">
        <v>98</v>
      </c>
      <c r="L133" s="8" t="s">
        <v>98</v>
      </c>
      <c r="M133" s="8" t="s">
        <v>98</v>
      </c>
      <c r="N133" s="8" t="s">
        <v>98</v>
      </c>
      <c r="O133" s="8" t="s">
        <v>98</v>
      </c>
      <c r="P133" s="8" t="s">
        <v>98</v>
      </c>
      <c r="Q133" s="8" t="s">
        <v>98</v>
      </c>
      <c r="R133" s="8" t="s">
        <v>98</v>
      </c>
      <c r="S133" s="8" t="s">
        <v>98</v>
      </c>
    </row>
    <row r="134" spans="1:19" ht="15.75" x14ac:dyDescent="0.25">
      <c r="A134" s="6">
        <f>Questionnaire!A134</f>
        <v>132</v>
      </c>
      <c r="B134" s="8" t="s">
        <v>98</v>
      </c>
      <c r="C134" s="7" t="s">
        <v>97</v>
      </c>
      <c r="D134" s="7" t="s">
        <v>97</v>
      </c>
      <c r="E134" s="8" t="s">
        <v>98</v>
      </c>
      <c r="F134" s="8" t="s">
        <v>98</v>
      </c>
      <c r="G134" s="8" t="s">
        <v>98</v>
      </c>
      <c r="H134" s="8" t="s">
        <v>98</v>
      </c>
      <c r="I134" s="7" t="s">
        <v>97</v>
      </c>
      <c r="J134" s="7" t="s">
        <v>97</v>
      </c>
      <c r="K134" s="7" t="s">
        <v>97</v>
      </c>
      <c r="L134" s="7" t="s">
        <v>97</v>
      </c>
      <c r="M134" s="8" t="s">
        <v>98</v>
      </c>
      <c r="N134" s="8" t="s">
        <v>98</v>
      </c>
      <c r="O134" s="8" t="s">
        <v>98</v>
      </c>
      <c r="P134" s="8" t="s">
        <v>98</v>
      </c>
      <c r="Q134" s="8" t="s">
        <v>98</v>
      </c>
      <c r="R134" s="8" t="s">
        <v>98</v>
      </c>
      <c r="S134" s="8" t="s">
        <v>98</v>
      </c>
    </row>
    <row r="135" spans="1:19" ht="15.75" x14ac:dyDescent="0.25">
      <c r="A135" s="6">
        <f>Questionnaire!A135</f>
        <v>133</v>
      </c>
      <c r="B135" s="8" t="s">
        <v>98</v>
      </c>
      <c r="C135" s="7" t="s">
        <v>97</v>
      </c>
      <c r="D135" s="8" t="s">
        <v>98</v>
      </c>
      <c r="E135" s="7" t="s">
        <v>97</v>
      </c>
      <c r="F135" s="8" t="s">
        <v>98</v>
      </c>
      <c r="G135" s="8" t="s">
        <v>98</v>
      </c>
      <c r="H135" s="7" t="s">
        <v>97</v>
      </c>
      <c r="I135" s="8" t="s">
        <v>98</v>
      </c>
      <c r="J135" s="8" t="s">
        <v>98</v>
      </c>
      <c r="K135" s="7" t="s">
        <v>97</v>
      </c>
      <c r="L135" s="7" t="s">
        <v>97</v>
      </c>
      <c r="M135" s="8" t="s">
        <v>98</v>
      </c>
      <c r="N135" s="8" t="s">
        <v>98</v>
      </c>
      <c r="O135" s="8" t="s">
        <v>98</v>
      </c>
      <c r="P135" s="8" t="s">
        <v>98</v>
      </c>
      <c r="Q135" s="8" t="s">
        <v>98</v>
      </c>
      <c r="R135" s="8" t="s">
        <v>98</v>
      </c>
      <c r="S135" s="8" t="s">
        <v>98</v>
      </c>
    </row>
    <row r="136" spans="1:19" ht="15.75" x14ac:dyDescent="0.25">
      <c r="A136" s="6">
        <f>Questionnaire!A136</f>
        <v>134</v>
      </c>
      <c r="B136" s="8" t="s">
        <v>98</v>
      </c>
      <c r="C136" s="7" t="s">
        <v>97</v>
      </c>
      <c r="D136" s="7" t="s">
        <v>97</v>
      </c>
      <c r="E136" s="8" t="s">
        <v>98</v>
      </c>
      <c r="F136" s="8" t="s">
        <v>98</v>
      </c>
      <c r="G136" s="8" t="s">
        <v>98</v>
      </c>
      <c r="H136" s="7" t="s">
        <v>97</v>
      </c>
      <c r="I136" s="8" t="s">
        <v>98</v>
      </c>
      <c r="J136" s="8" t="s">
        <v>98</v>
      </c>
      <c r="K136" s="8" t="s">
        <v>98</v>
      </c>
      <c r="L136" s="8" t="s">
        <v>98</v>
      </c>
      <c r="M136" s="8" t="s">
        <v>98</v>
      </c>
      <c r="N136" s="8" t="s">
        <v>98</v>
      </c>
      <c r="O136" s="8" t="s">
        <v>98</v>
      </c>
      <c r="P136" s="8" t="s">
        <v>98</v>
      </c>
      <c r="Q136" s="8" t="s">
        <v>98</v>
      </c>
      <c r="R136" s="8" t="s">
        <v>98</v>
      </c>
      <c r="S136" s="8" t="s">
        <v>98</v>
      </c>
    </row>
    <row r="137" spans="1:19" ht="15.75" x14ac:dyDescent="0.25">
      <c r="A137" s="6">
        <f>Questionnaire!A137</f>
        <v>135</v>
      </c>
      <c r="B137" s="8" t="s">
        <v>98</v>
      </c>
      <c r="C137" s="7" t="s">
        <v>97</v>
      </c>
      <c r="D137" s="8" t="s">
        <v>98</v>
      </c>
      <c r="E137" s="8" t="s">
        <v>98</v>
      </c>
      <c r="F137" s="8" t="s">
        <v>98</v>
      </c>
      <c r="G137" s="8" t="s">
        <v>98</v>
      </c>
      <c r="H137" s="7" t="s">
        <v>97</v>
      </c>
      <c r="I137" s="8" t="s">
        <v>98</v>
      </c>
      <c r="J137" s="7" t="s">
        <v>97</v>
      </c>
      <c r="K137" s="8" t="s">
        <v>98</v>
      </c>
      <c r="L137" s="8" t="s">
        <v>98</v>
      </c>
      <c r="M137" s="8" t="s">
        <v>98</v>
      </c>
      <c r="N137" s="8" t="s">
        <v>98</v>
      </c>
      <c r="O137" s="8" t="s">
        <v>98</v>
      </c>
      <c r="P137" s="8" t="s">
        <v>98</v>
      </c>
      <c r="Q137" s="8" t="s">
        <v>98</v>
      </c>
      <c r="R137" s="8" t="s">
        <v>98</v>
      </c>
      <c r="S137" s="8" t="s">
        <v>98</v>
      </c>
    </row>
    <row r="138" spans="1:19" ht="15.75" x14ac:dyDescent="0.25">
      <c r="A138" s="6">
        <f>Questionnaire!A138</f>
        <v>136</v>
      </c>
      <c r="B138" s="8" t="s">
        <v>98</v>
      </c>
      <c r="C138" s="7" t="s">
        <v>97</v>
      </c>
      <c r="D138" s="8" t="s">
        <v>98</v>
      </c>
      <c r="E138" s="8" t="s">
        <v>98</v>
      </c>
      <c r="F138" s="8" t="s">
        <v>98</v>
      </c>
      <c r="G138" s="7" t="s">
        <v>97</v>
      </c>
      <c r="H138" s="7" t="s">
        <v>97</v>
      </c>
      <c r="I138" s="8" t="s">
        <v>98</v>
      </c>
      <c r="J138" s="8" t="s">
        <v>98</v>
      </c>
      <c r="K138" s="8" t="s">
        <v>98</v>
      </c>
      <c r="L138" s="8" t="s">
        <v>98</v>
      </c>
      <c r="M138" s="8" t="s">
        <v>98</v>
      </c>
      <c r="N138" s="8" t="s">
        <v>98</v>
      </c>
      <c r="O138" s="8" t="s">
        <v>98</v>
      </c>
      <c r="P138" s="8" t="s">
        <v>98</v>
      </c>
      <c r="Q138" s="8" t="s">
        <v>98</v>
      </c>
      <c r="R138" s="8" t="s">
        <v>98</v>
      </c>
      <c r="S138" s="7" t="s">
        <v>97</v>
      </c>
    </row>
    <row r="139" spans="1:19" ht="15.75" x14ac:dyDescent="0.25">
      <c r="A139" s="6">
        <f>Questionnaire!A139</f>
        <v>137</v>
      </c>
      <c r="B139" s="8" t="s">
        <v>98</v>
      </c>
      <c r="C139" s="8" t="s">
        <v>98</v>
      </c>
      <c r="D139" s="8" t="s">
        <v>98</v>
      </c>
      <c r="E139" s="8" t="s">
        <v>98</v>
      </c>
      <c r="F139" s="8" t="s">
        <v>98</v>
      </c>
      <c r="G139" s="7" t="s">
        <v>97</v>
      </c>
      <c r="H139" s="8" t="s">
        <v>98</v>
      </c>
      <c r="I139" s="7" t="s">
        <v>97</v>
      </c>
      <c r="J139" s="7" t="s">
        <v>97</v>
      </c>
      <c r="K139" s="7" t="s">
        <v>97</v>
      </c>
      <c r="L139" s="7" t="s">
        <v>97</v>
      </c>
      <c r="M139" s="8" t="s">
        <v>98</v>
      </c>
      <c r="N139" s="8" t="s">
        <v>98</v>
      </c>
      <c r="O139" s="8" t="s">
        <v>98</v>
      </c>
      <c r="P139" s="8" t="s">
        <v>98</v>
      </c>
      <c r="Q139" s="8" t="s">
        <v>98</v>
      </c>
      <c r="R139" s="8" t="s">
        <v>98</v>
      </c>
      <c r="S139" s="8" t="s">
        <v>98</v>
      </c>
    </row>
    <row r="140" spans="1:19" ht="15.75" x14ac:dyDescent="0.25">
      <c r="A140" s="6">
        <f>Questionnaire!A140</f>
        <v>138</v>
      </c>
      <c r="B140" s="8" t="s">
        <v>98</v>
      </c>
      <c r="C140" s="8" t="s">
        <v>98</v>
      </c>
      <c r="D140" s="8" t="s">
        <v>98</v>
      </c>
      <c r="E140" s="8" t="s">
        <v>98</v>
      </c>
      <c r="F140" s="8" t="s">
        <v>98</v>
      </c>
      <c r="G140" s="7" t="s">
        <v>97</v>
      </c>
      <c r="H140" s="8" t="s">
        <v>98</v>
      </c>
      <c r="I140" s="7" t="s">
        <v>97</v>
      </c>
      <c r="J140" s="8" t="s">
        <v>98</v>
      </c>
      <c r="K140" s="7" t="s">
        <v>97</v>
      </c>
      <c r="L140" s="8" t="s">
        <v>98</v>
      </c>
      <c r="M140" s="8" t="s">
        <v>98</v>
      </c>
      <c r="N140" s="8" t="s">
        <v>98</v>
      </c>
      <c r="O140" s="8" t="s">
        <v>98</v>
      </c>
      <c r="P140" s="8" t="s">
        <v>98</v>
      </c>
      <c r="Q140" s="8" t="s">
        <v>98</v>
      </c>
      <c r="R140" s="8" t="s">
        <v>98</v>
      </c>
      <c r="S140" s="8" t="s">
        <v>98</v>
      </c>
    </row>
    <row r="141" spans="1:19" ht="15.75" x14ac:dyDescent="0.25">
      <c r="A141" s="6">
        <f>Questionnaire!A141</f>
        <v>139</v>
      </c>
      <c r="B141" s="8" t="s">
        <v>98</v>
      </c>
      <c r="C141" s="7" t="s">
        <v>97</v>
      </c>
      <c r="D141" s="8" t="s">
        <v>98</v>
      </c>
      <c r="E141" s="8" t="s">
        <v>98</v>
      </c>
      <c r="F141" s="8" t="s">
        <v>98</v>
      </c>
      <c r="G141" s="8" t="s">
        <v>98</v>
      </c>
      <c r="H141" s="8" t="s">
        <v>98</v>
      </c>
      <c r="I141" s="7" t="s">
        <v>97</v>
      </c>
      <c r="J141" s="8" t="s">
        <v>98</v>
      </c>
      <c r="K141" s="7" t="s">
        <v>97</v>
      </c>
      <c r="L141" s="8" t="s">
        <v>98</v>
      </c>
      <c r="M141" s="8" t="s">
        <v>98</v>
      </c>
      <c r="N141" s="8" t="s">
        <v>98</v>
      </c>
      <c r="O141" s="8" t="s">
        <v>98</v>
      </c>
      <c r="P141" s="8" t="s">
        <v>98</v>
      </c>
      <c r="Q141" s="8" t="s">
        <v>98</v>
      </c>
      <c r="R141" s="8" t="s">
        <v>98</v>
      </c>
      <c r="S141" s="8" t="s">
        <v>98</v>
      </c>
    </row>
    <row r="142" spans="1:19" ht="15.75" x14ac:dyDescent="0.25">
      <c r="A142" s="6">
        <f>Questionnaire!A142</f>
        <v>140</v>
      </c>
      <c r="B142" s="8" t="s">
        <v>98</v>
      </c>
      <c r="C142" s="7" t="s">
        <v>97</v>
      </c>
      <c r="D142" s="7" t="s">
        <v>97</v>
      </c>
      <c r="E142" s="8" t="s">
        <v>98</v>
      </c>
      <c r="F142" s="8" t="s">
        <v>98</v>
      </c>
      <c r="G142" s="8" t="s">
        <v>98</v>
      </c>
      <c r="H142" s="7" t="s">
        <v>97</v>
      </c>
      <c r="I142" s="8" t="s">
        <v>98</v>
      </c>
      <c r="J142" s="8" t="s">
        <v>98</v>
      </c>
      <c r="K142" s="8" t="s">
        <v>98</v>
      </c>
      <c r="L142" s="8" t="s">
        <v>98</v>
      </c>
      <c r="M142" s="8" t="s">
        <v>98</v>
      </c>
      <c r="N142" s="8" t="s">
        <v>98</v>
      </c>
      <c r="O142" s="8" t="s">
        <v>98</v>
      </c>
      <c r="P142" s="8" t="s">
        <v>98</v>
      </c>
      <c r="Q142" s="8" t="s">
        <v>98</v>
      </c>
      <c r="R142" s="8" t="s">
        <v>98</v>
      </c>
      <c r="S142" s="8" t="s">
        <v>98</v>
      </c>
    </row>
    <row r="143" spans="1:19" ht="15.75" x14ac:dyDescent="0.25">
      <c r="A143" s="6">
        <f>Questionnaire!A143</f>
        <v>141</v>
      </c>
      <c r="B143" s="8" t="s">
        <v>98</v>
      </c>
      <c r="C143" s="7" t="s">
        <v>97</v>
      </c>
      <c r="D143" s="7" t="s">
        <v>97</v>
      </c>
      <c r="E143" s="8" t="s">
        <v>98</v>
      </c>
      <c r="F143" s="8" t="s">
        <v>98</v>
      </c>
      <c r="G143" s="8" t="s">
        <v>98</v>
      </c>
      <c r="H143" s="8" t="s">
        <v>98</v>
      </c>
      <c r="I143" s="8" t="s">
        <v>98</v>
      </c>
      <c r="J143" s="7" t="s">
        <v>97</v>
      </c>
      <c r="K143" s="8" t="s">
        <v>98</v>
      </c>
      <c r="L143" s="8" t="s">
        <v>98</v>
      </c>
      <c r="M143" s="8" t="s">
        <v>98</v>
      </c>
      <c r="N143" s="8" t="s">
        <v>98</v>
      </c>
      <c r="O143" s="8" t="s">
        <v>98</v>
      </c>
      <c r="P143" s="8" t="s">
        <v>98</v>
      </c>
      <c r="Q143" s="8" t="s">
        <v>98</v>
      </c>
      <c r="R143" s="8" t="s">
        <v>98</v>
      </c>
      <c r="S143" s="8" t="s">
        <v>98</v>
      </c>
    </row>
    <row r="144" spans="1:19" ht="15.75" x14ac:dyDescent="0.25">
      <c r="A144" s="6">
        <f>Questionnaire!A144</f>
        <v>142</v>
      </c>
      <c r="B144" s="8" t="s">
        <v>98</v>
      </c>
      <c r="C144" s="7" t="s">
        <v>97</v>
      </c>
      <c r="D144" s="8" t="s">
        <v>98</v>
      </c>
      <c r="E144" s="8" t="s">
        <v>98</v>
      </c>
      <c r="F144" s="8" t="s">
        <v>98</v>
      </c>
      <c r="G144" s="8" t="s">
        <v>98</v>
      </c>
      <c r="H144" s="8" t="s">
        <v>98</v>
      </c>
      <c r="I144" s="7" t="s">
        <v>97</v>
      </c>
      <c r="J144" s="7" t="s">
        <v>97</v>
      </c>
      <c r="K144" s="8" t="s">
        <v>98</v>
      </c>
      <c r="L144" s="7" t="s">
        <v>97</v>
      </c>
      <c r="M144" s="8" t="s">
        <v>98</v>
      </c>
      <c r="N144" s="8" t="s">
        <v>98</v>
      </c>
      <c r="O144" s="8" t="s">
        <v>98</v>
      </c>
      <c r="P144" s="8" t="s">
        <v>98</v>
      </c>
      <c r="Q144" s="8" t="s">
        <v>98</v>
      </c>
      <c r="R144" s="8" t="s">
        <v>98</v>
      </c>
      <c r="S144" s="8" t="s">
        <v>98</v>
      </c>
    </row>
    <row r="145" spans="1:19" ht="15.75" x14ac:dyDescent="0.25">
      <c r="A145" s="6">
        <f>Questionnaire!A145</f>
        <v>143</v>
      </c>
      <c r="B145" s="8" t="s">
        <v>98</v>
      </c>
      <c r="C145" s="7" t="s">
        <v>97</v>
      </c>
      <c r="D145" s="8" t="s">
        <v>98</v>
      </c>
      <c r="E145" s="8" t="s">
        <v>98</v>
      </c>
      <c r="F145" s="8" t="s">
        <v>98</v>
      </c>
      <c r="G145" s="7" t="s">
        <v>97</v>
      </c>
      <c r="H145" s="8" t="s">
        <v>98</v>
      </c>
      <c r="I145" s="7" t="s">
        <v>97</v>
      </c>
      <c r="J145" s="7" t="s">
        <v>97</v>
      </c>
      <c r="K145" s="7" t="s">
        <v>97</v>
      </c>
      <c r="L145" s="8" t="s">
        <v>98</v>
      </c>
      <c r="M145" s="8" t="s">
        <v>98</v>
      </c>
      <c r="N145" s="8" t="s">
        <v>98</v>
      </c>
      <c r="O145" s="8" t="s">
        <v>98</v>
      </c>
      <c r="P145" s="8" t="s">
        <v>98</v>
      </c>
      <c r="Q145" s="8" t="s">
        <v>98</v>
      </c>
      <c r="R145" s="8" t="s">
        <v>98</v>
      </c>
      <c r="S145" s="8" t="s">
        <v>98</v>
      </c>
    </row>
    <row r="146" spans="1:19" ht="15.75" x14ac:dyDescent="0.25">
      <c r="A146" s="6">
        <f>Questionnaire!A146</f>
        <v>144</v>
      </c>
      <c r="B146" s="8" t="s">
        <v>98</v>
      </c>
      <c r="C146" s="7" t="s">
        <v>97</v>
      </c>
      <c r="D146" s="7" t="s">
        <v>97</v>
      </c>
      <c r="E146" s="7" t="s">
        <v>97</v>
      </c>
      <c r="F146" s="8" t="s">
        <v>98</v>
      </c>
      <c r="G146" s="8" t="s">
        <v>98</v>
      </c>
      <c r="H146" s="8" t="s">
        <v>98</v>
      </c>
      <c r="I146" s="7" t="s">
        <v>97</v>
      </c>
      <c r="J146" s="8" t="s">
        <v>98</v>
      </c>
      <c r="K146" s="7" t="s">
        <v>97</v>
      </c>
      <c r="L146" s="7" t="s">
        <v>97</v>
      </c>
      <c r="M146" s="8" t="s">
        <v>98</v>
      </c>
      <c r="N146" s="8" t="s">
        <v>98</v>
      </c>
      <c r="O146" s="8" t="s">
        <v>98</v>
      </c>
      <c r="P146" s="8" t="s">
        <v>98</v>
      </c>
      <c r="Q146" s="8" t="s">
        <v>98</v>
      </c>
      <c r="R146" s="8" t="s">
        <v>98</v>
      </c>
      <c r="S146" s="8" t="s">
        <v>98</v>
      </c>
    </row>
    <row r="147" spans="1:19" ht="15.75" x14ac:dyDescent="0.25">
      <c r="A147" s="6">
        <f>Questionnaire!A147</f>
        <v>145</v>
      </c>
      <c r="B147" s="8" t="s">
        <v>98</v>
      </c>
      <c r="C147" s="8" t="s">
        <v>98</v>
      </c>
      <c r="D147" s="8" t="s">
        <v>98</v>
      </c>
      <c r="E147" s="8" t="s">
        <v>98</v>
      </c>
      <c r="F147" s="8" t="s">
        <v>98</v>
      </c>
      <c r="G147" s="7" t="s">
        <v>97</v>
      </c>
      <c r="H147" s="7" t="s">
        <v>97</v>
      </c>
      <c r="I147" s="8" t="s">
        <v>98</v>
      </c>
      <c r="J147" s="7" t="s">
        <v>97</v>
      </c>
      <c r="K147" s="7" t="s">
        <v>97</v>
      </c>
      <c r="L147" s="7" t="s">
        <v>97</v>
      </c>
      <c r="M147" s="8" t="s">
        <v>98</v>
      </c>
      <c r="N147" s="8" t="s">
        <v>98</v>
      </c>
      <c r="O147" s="8" t="s">
        <v>98</v>
      </c>
      <c r="P147" s="8" t="s">
        <v>98</v>
      </c>
      <c r="Q147" s="8" t="s">
        <v>98</v>
      </c>
      <c r="R147" s="8" t="s">
        <v>98</v>
      </c>
      <c r="S147" s="8" t="s">
        <v>98</v>
      </c>
    </row>
    <row r="148" spans="1:19" ht="15.75" x14ac:dyDescent="0.25">
      <c r="A148" s="6">
        <f>Questionnaire!A148</f>
        <v>146</v>
      </c>
      <c r="B148" s="8" t="s">
        <v>98</v>
      </c>
      <c r="C148" s="7" t="s">
        <v>97</v>
      </c>
      <c r="D148" s="8" t="s">
        <v>98</v>
      </c>
      <c r="E148" s="8" t="s">
        <v>98</v>
      </c>
      <c r="F148" s="8" t="s">
        <v>98</v>
      </c>
      <c r="G148" s="7" t="s">
        <v>97</v>
      </c>
      <c r="H148" s="7" t="s">
        <v>97</v>
      </c>
      <c r="I148" s="8" t="s">
        <v>98</v>
      </c>
      <c r="J148" s="8" t="s">
        <v>98</v>
      </c>
      <c r="K148" s="7" t="s">
        <v>97</v>
      </c>
      <c r="L148" s="8" t="s">
        <v>98</v>
      </c>
      <c r="M148" s="8" t="s">
        <v>98</v>
      </c>
      <c r="N148" s="8" t="s">
        <v>98</v>
      </c>
      <c r="O148" s="8" t="s">
        <v>98</v>
      </c>
      <c r="P148" s="8" t="s">
        <v>98</v>
      </c>
      <c r="Q148" s="8" t="s">
        <v>98</v>
      </c>
      <c r="R148" s="8" t="s">
        <v>98</v>
      </c>
      <c r="S148" s="8" t="s">
        <v>98</v>
      </c>
    </row>
    <row r="149" spans="1:19" ht="15.75" x14ac:dyDescent="0.25">
      <c r="A149" s="6">
        <f>Questionnaire!A149</f>
        <v>147</v>
      </c>
      <c r="B149" s="8" t="s">
        <v>98</v>
      </c>
      <c r="C149" s="7" t="s">
        <v>97</v>
      </c>
      <c r="D149" s="8" t="s">
        <v>98</v>
      </c>
      <c r="E149" s="8" t="s">
        <v>98</v>
      </c>
      <c r="F149" s="8" t="s">
        <v>98</v>
      </c>
      <c r="G149" s="7" t="s">
        <v>97</v>
      </c>
      <c r="H149" s="8" t="s">
        <v>98</v>
      </c>
      <c r="I149" s="8" t="s">
        <v>98</v>
      </c>
      <c r="J149" s="8" t="s">
        <v>98</v>
      </c>
      <c r="K149" s="7" t="s">
        <v>97</v>
      </c>
      <c r="L149" s="8" t="s">
        <v>98</v>
      </c>
      <c r="M149" s="8" t="s">
        <v>98</v>
      </c>
      <c r="N149" s="8" t="s">
        <v>98</v>
      </c>
      <c r="O149" s="8" t="s">
        <v>98</v>
      </c>
      <c r="P149" s="8" t="s">
        <v>98</v>
      </c>
      <c r="Q149" s="8" t="s">
        <v>98</v>
      </c>
      <c r="R149" s="8" t="s">
        <v>98</v>
      </c>
      <c r="S149" s="7" t="s">
        <v>97</v>
      </c>
    </row>
    <row r="150" spans="1:19" ht="15.75" x14ac:dyDescent="0.25">
      <c r="A150" s="6">
        <f>Questionnaire!A150</f>
        <v>148</v>
      </c>
      <c r="B150" s="7" t="s">
        <v>97</v>
      </c>
      <c r="C150" s="8" t="s">
        <v>98</v>
      </c>
      <c r="D150" s="8" t="s">
        <v>98</v>
      </c>
      <c r="E150" s="8" t="s">
        <v>98</v>
      </c>
      <c r="F150" s="8" t="s">
        <v>98</v>
      </c>
      <c r="G150" s="8" t="s">
        <v>98</v>
      </c>
      <c r="H150" s="7" t="s">
        <v>97</v>
      </c>
      <c r="I150" s="8" t="s">
        <v>98</v>
      </c>
      <c r="J150" s="7" t="s">
        <v>97</v>
      </c>
      <c r="K150" s="8" t="s">
        <v>98</v>
      </c>
      <c r="L150" s="8" t="s">
        <v>98</v>
      </c>
      <c r="M150" s="7" t="s">
        <v>97</v>
      </c>
      <c r="N150" s="8" t="s">
        <v>98</v>
      </c>
      <c r="O150" s="8" t="s">
        <v>98</v>
      </c>
      <c r="P150" s="8" t="s">
        <v>98</v>
      </c>
      <c r="Q150" s="7" t="s">
        <v>97</v>
      </c>
      <c r="R150" s="8" t="s">
        <v>98</v>
      </c>
      <c r="S150" s="8" t="s">
        <v>98</v>
      </c>
    </row>
    <row r="151" spans="1:19" ht="15.75" x14ac:dyDescent="0.25">
      <c r="A151" s="6">
        <f>Questionnaire!A151</f>
        <v>149</v>
      </c>
      <c r="B151" s="8" t="s">
        <v>98</v>
      </c>
      <c r="C151" s="8" t="s">
        <v>98</v>
      </c>
      <c r="D151" s="8" t="s">
        <v>98</v>
      </c>
      <c r="E151" s="8" t="s">
        <v>98</v>
      </c>
      <c r="F151" s="8" t="s">
        <v>98</v>
      </c>
      <c r="G151" s="7" t="s">
        <v>97</v>
      </c>
      <c r="H151" s="7" t="s">
        <v>97</v>
      </c>
      <c r="I151" s="8" t="s">
        <v>98</v>
      </c>
      <c r="J151" s="8" t="s">
        <v>98</v>
      </c>
      <c r="K151" s="8" t="s">
        <v>98</v>
      </c>
      <c r="L151" s="8" t="s">
        <v>98</v>
      </c>
      <c r="M151" s="8" t="s">
        <v>98</v>
      </c>
      <c r="N151" s="8" t="s">
        <v>98</v>
      </c>
      <c r="O151" s="8" t="s">
        <v>98</v>
      </c>
      <c r="P151" s="8" t="s">
        <v>98</v>
      </c>
      <c r="Q151" s="8" t="s">
        <v>98</v>
      </c>
      <c r="R151" s="8" t="s">
        <v>98</v>
      </c>
      <c r="S151" s="8" t="s">
        <v>98</v>
      </c>
    </row>
    <row r="152" spans="1:19" ht="15.75" x14ac:dyDescent="0.25">
      <c r="A152" s="6">
        <f>Questionnaire!A152</f>
        <v>150</v>
      </c>
      <c r="B152" s="8" t="s">
        <v>98</v>
      </c>
      <c r="C152" s="8" t="s">
        <v>98</v>
      </c>
      <c r="D152" s="8" t="s">
        <v>98</v>
      </c>
      <c r="E152" s="8" t="s">
        <v>98</v>
      </c>
      <c r="F152" s="8" t="s">
        <v>98</v>
      </c>
      <c r="G152" s="7" t="s">
        <v>97</v>
      </c>
      <c r="H152" s="8" t="s">
        <v>98</v>
      </c>
      <c r="I152" s="8" t="s">
        <v>98</v>
      </c>
      <c r="J152" s="8" t="s">
        <v>98</v>
      </c>
      <c r="K152" s="8" t="s">
        <v>98</v>
      </c>
      <c r="L152" s="8" t="s">
        <v>98</v>
      </c>
      <c r="M152" s="8" t="s">
        <v>98</v>
      </c>
      <c r="N152" s="8" t="s">
        <v>98</v>
      </c>
      <c r="O152" s="8" t="s">
        <v>98</v>
      </c>
      <c r="P152" s="8" t="s">
        <v>98</v>
      </c>
      <c r="Q152" s="8" t="s">
        <v>98</v>
      </c>
      <c r="R152" s="8" t="s">
        <v>98</v>
      </c>
      <c r="S152" s="8" t="s">
        <v>98</v>
      </c>
    </row>
    <row r="153" spans="1:19" ht="15.75" x14ac:dyDescent="0.25">
      <c r="A153" s="6">
        <f>Questionnaire!A153</f>
        <v>151</v>
      </c>
      <c r="B153" s="8" t="s">
        <v>98</v>
      </c>
      <c r="C153" s="8" t="s">
        <v>97</v>
      </c>
      <c r="D153" s="8" t="s">
        <v>97</v>
      </c>
      <c r="E153" s="8" t="s">
        <v>97</v>
      </c>
      <c r="F153" s="8" t="s">
        <v>98</v>
      </c>
      <c r="G153" s="8" t="s">
        <v>98</v>
      </c>
      <c r="H153" s="8" t="s">
        <v>98</v>
      </c>
      <c r="I153" s="8" t="s">
        <v>98</v>
      </c>
      <c r="J153" s="8" t="s">
        <v>98</v>
      </c>
      <c r="K153" s="8" t="s">
        <v>97</v>
      </c>
      <c r="L153" s="8" t="s">
        <v>98</v>
      </c>
      <c r="M153" s="8" t="s">
        <v>98</v>
      </c>
      <c r="N153" s="8" t="s">
        <v>98</v>
      </c>
      <c r="O153" s="8" t="s">
        <v>98</v>
      </c>
      <c r="P153" s="8" t="s">
        <v>98</v>
      </c>
      <c r="Q153" s="8" t="s">
        <v>98</v>
      </c>
      <c r="R153" s="8" t="s">
        <v>98</v>
      </c>
      <c r="S153" s="8" t="s">
        <v>97</v>
      </c>
    </row>
    <row r="154" spans="1:19" ht="15.75" x14ac:dyDescent="0.25">
      <c r="A154" s="6">
        <f>Questionnaire!A154</f>
        <v>152</v>
      </c>
      <c r="B154" s="8" t="s">
        <v>98</v>
      </c>
      <c r="C154" s="8" t="s">
        <v>97</v>
      </c>
      <c r="D154" s="8" t="s">
        <v>98</v>
      </c>
      <c r="E154" s="8" t="s">
        <v>98</v>
      </c>
      <c r="F154" s="8" t="s">
        <v>98</v>
      </c>
      <c r="G154" s="8" t="s">
        <v>98</v>
      </c>
      <c r="H154" s="8" t="s">
        <v>98</v>
      </c>
      <c r="I154" s="8" t="s">
        <v>97</v>
      </c>
      <c r="J154" s="8" t="s">
        <v>97</v>
      </c>
      <c r="K154" s="8" t="s">
        <v>98</v>
      </c>
      <c r="L154" s="8" t="s">
        <v>97</v>
      </c>
      <c r="M154" s="8" t="s">
        <v>98</v>
      </c>
      <c r="N154" s="8" t="s">
        <v>98</v>
      </c>
      <c r="O154" s="8" t="s">
        <v>98</v>
      </c>
      <c r="P154" s="8" t="s">
        <v>98</v>
      </c>
      <c r="Q154" s="8" t="s">
        <v>98</v>
      </c>
      <c r="R154" s="8" t="s">
        <v>98</v>
      </c>
      <c r="S154" s="8" t="s">
        <v>98</v>
      </c>
    </row>
    <row r="155" spans="1:19" ht="15.75" x14ac:dyDescent="0.25">
      <c r="A155" s="6">
        <f>Questionnaire!A155</f>
        <v>153</v>
      </c>
      <c r="B155" s="8" t="s">
        <v>98</v>
      </c>
      <c r="C155" s="8" t="s">
        <v>98</v>
      </c>
      <c r="D155" s="8" t="s">
        <v>98</v>
      </c>
      <c r="E155" s="8" t="s">
        <v>98</v>
      </c>
      <c r="F155" s="8" t="s">
        <v>98</v>
      </c>
      <c r="G155" s="8" t="s">
        <v>97</v>
      </c>
      <c r="H155" s="8" t="s">
        <v>97</v>
      </c>
      <c r="I155" s="8" t="s">
        <v>98</v>
      </c>
      <c r="J155" s="8" t="s">
        <v>98</v>
      </c>
      <c r="K155" s="8" t="s">
        <v>98</v>
      </c>
      <c r="L155" s="8" t="s">
        <v>98</v>
      </c>
      <c r="M155" s="8" t="s">
        <v>98</v>
      </c>
      <c r="N155" s="8" t="s">
        <v>98</v>
      </c>
      <c r="O155" s="8" t="s">
        <v>98</v>
      </c>
      <c r="P155" s="8" t="s">
        <v>98</v>
      </c>
      <c r="Q155" s="8" t="s">
        <v>98</v>
      </c>
      <c r="R155" s="8" t="s">
        <v>98</v>
      </c>
      <c r="S155" s="8" t="s">
        <v>98</v>
      </c>
    </row>
    <row r="156" spans="1:19" ht="15.75" x14ac:dyDescent="0.25">
      <c r="A156" s="6">
        <f>Questionnaire!A156</f>
        <v>154</v>
      </c>
      <c r="B156" s="8" t="s">
        <v>98</v>
      </c>
      <c r="C156" s="8" t="s">
        <v>98</v>
      </c>
      <c r="D156" s="8" t="s">
        <v>98</v>
      </c>
      <c r="E156" s="8" t="s">
        <v>98</v>
      </c>
      <c r="F156" s="8" t="s">
        <v>98</v>
      </c>
      <c r="G156" s="8" t="s">
        <v>97</v>
      </c>
      <c r="H156" s="8" t="s">
        <v>98</v>
      </c>
      <c r="I156" s="8" t="s">
        <v>98</v>
      </c>
      <c r="J156" s="8" t="s">
        <v>98</v>
      </c>
      <c r="K156" s="8" t="s">
        <v>98</v>
      </c>
      <c r="L156" s="8" t="s">
        <v>98</v>
      </c>
      <c r="M156" s="8" t="s">
        <v>98</v>
      </c>
      <c r="N156" s="8" t="s">
        <v>98</v>
      </c>
      <c r="O156" s="8" t="s">
        <v>98</v>
      </c>
      <c r="P156" s="8" t="s">
        <v>98</v>
      </c>
      <c r="Q156" s="8" t="s">
        <v>98</v>
      </c>
      <c r="R156" s="8" t="s">
        <v>98</v>
      </c>
      <c r="S156" s="8" t="s">
        <v>98</v>
      </c>
    </row>
    <row r="157" spans="1:19" ht="15.75" x14ac:dyDescent="0.25">
      <c r="A157" s="6">
        <f>Questionnaire!A157</f>
        <v>155</v>
      </c>
      <c r="B157" s="8" t="s">
        <v>98</v>
      </c>
      <c r="C157" s="8" t="s">
        <v>97</v>
      </c>
      <c r="D157" s="8" t="s">
        <v>97</v>
      </c>
      <c r="E157" s="8" t="s">
        <v>98</v>
      </c>
      <c r="F157" s="8" t="s">
        <v>98</v>
      </c>
      <c r="G157" s="8" t="s">
        <v>98</v>
      </c>
      <c r="H157" s="8" t="s">
        <v>98</v>
      </c>
      <c r="I157" s="8" t="s">
        <v>97</v>
      </c>
      <c r="J157" s="8" t="s">
        <v>98</v>
      </c>
      <c r="K157" s="8" t="s">
        <v>97</v>
      </c>
      <c r="L157" s="8" t="s">
        <v>98</v>
      </c>
      <c r="M157" s="8" t="s">
        <v>98</v>
      </c>
      <c r="N157" s="8" t="s">
        <v>98</v>
      </c>
      <c r="O157" s="8" t="s">
        <v>98</v>
      </c>
      <c r="P157" s="8" t="s">
        <v>98</v>
      </c>
      <c r="Q157" s="8" t="s">
        <v>98</v>
      </c>
      <c r="R157" s="8" t="s">
        <v>98</v>
      </c>
      <c r="S157" s="8" t="s">
        <v>97</v>
      </c>
    </row>
    <row r="158" spans="1:19" ht="15.75" x14ac:dyDescent="0.25">
      <c r="A158" s="6">
        <f>Questionnaire!A158</f>
        <v>156</v>
      </c>
      <c r="B158" s="8" t="s">
        <v>98</v>
      </c>
      <c r="C158" s="8" t="s">
        <v>97</v>
      </c>
      <c r="D158" s="8" t="s">
        <v>98</v>
      </c>
      <c r="E158" s="8" t="s">
        <v>97</v>
      </c>
      <c r="F158" s="8" t="s">
        <v>98</v>
      </c>
      <c r="G158" s="8" t="s">
        <v>98</v>
      </c>
      <c r="H158" s="8" t="s">
        <v>98</v>
      </c>
      <c r="I158" s="8" t="s">
        <v>97</v>
      </c>
      <c r="J158" s="8" t="s">
        <v>98</v>
      </c>
      <c r="K158" s="8" t="s">
        <v>97</v>
      </c>
      <c r="L158" s="8" t="s">
        <v>97</v>
      </c>
      <c r="M158" s="8" t="s">
        <v>98</v>
      </c>
      <c r="N158" s="8" t="s">
        <v>98</v>
      </c>
      <c r="O158" s="8" t="s">
        <v>98</v>
      </c>
      <c r="P158" s="8" t="s">
        <v>98</v>
      </c>
      <c r="Q158" s="8" t="s">
        <v>98</v>
      </c>
      <c r="R158" s="8" t="s">
        <v>98</v>
      </c>
      <c r="S158" s="8" t="s">
        <v>98</v>
      </c>
    </row>
    <row r="159" spans="1:19" ht="15.75" x14ac:dyDescent="0.25">
      <c r="A159" s="6">
        <f>Questionnaire!A159</f>
        <v>157</v>
      </c>
      <c r="B159" s="8" t="s">
        <v>98</v>
      </c>
      <c r="C159" s="8" t="s">
        <v>97</v>
      </c>
      <c r="D159" s="8" t="s">
        <v>97</v>
      </c>
      <c r="E159" s="8" t="s">
        <v>98</v>
      </c>
      <c r="F159" s="8" t="s">
        <v>98</v>
      </c>
      <c r="G159" s="8" t="s">
        <v>98</v>
      </c>
      <c r="H159" s="8" t="s">
        <v>98</v>
      </c>
      <c r="I159" s="8" t="s">
        <v>97</v>
      </c>
      <c r="J159" s="8" t="s">
        <v>97</v>
      </c>
      <c r="K159" s="8" t="s">
        <v>98</v>
      </c>
      <c r="L159" s="8" t="s">
        <v>97</v>
      </c>
      <c r="M159" s="8" t="s">
        <v>98</v>
      </c>
      <c r="N159" s="8" t="s">
        <v>98</v>
      </c>
      <c r="O159" s="8" t="s">
        <v>98</v>
      </c>
      <c r="P159" s="8" t="s">
        <v>98</v>
      </c>
      <c r="Q159" s="8" t="s">
        <v>98</v>
      </c>
      <c r="R159" s="8" t="s">
        <v>98</v>
      </c>
      <c r="S159" s="8" t="s">
        <v>97</v>
      </c>
    </row>
    <row r="160" spans="1:19" ht="15.75" x14ac:dyDescent="0.25">
      <c r="A160" s="6">
        <f>Questionnaire!A160</f>
        <v>158</v>
      </c>
      <c r="B160" s="8" t="s">
        <v>97</v>
      </c>
      <c r="C160" s="8" t="s">
        <v>98</v>
      </c>
      <c r="D160" s="8" t="s">
        <v>98</v>
      </c>
      <c r="E160" s="8" t="s">
        <v>98</v>
      </c>
      <c r="F160" s="8" t="s">
        <v>98</v>
      </c>
      <c r="G160" s="8" t="s">
        <v>98</v>
      </c>
      <c r="H160" s="8" t="s">
        <v>98</v>
      </c>
      <c r="I160" s="8" t="s">
        <v>98</v>
      </c>
      <c r="J160" s="8" t="s">
        <v>97</v>
      </c>
      <c r="K160" s="8" t="s">
        <v>98</v>
      </c>
      <c r="L160" s="8" t="s">
        <v>98</v>
      </c>
      <c r="M160" s="8" t="s">
        <v>98</v>
      </c>
      <c r="N160" s="8" t="s">
        <v>98</v>
      </c>
      <c r="O160" s="8" t="s">
        <v>98</v>
      </c>
      <c r="P160" s="8" t="s">
        <v>98</v>
      </c>
      <c r="Q160" s="8" t="s">
        <v>98</v>
      </c>
      <c r="R160" s="8" t="s">
        <v>98</v>
      </c>
      <c r="S160" s="8" t="s">
        <v>98</v>
      </c>
    </row>
    <row r="161" spans="1:19" ht="15.75" x14ac:dyDescent="0.25">
      <c r="A161" s="6">
        <f>Questionnaire!A161</f>
        <v>159</v>
      </c>
      <c r="B161" s="8" t="s">
        <v>98</v>
      </c>
      <c r="C161" s="8" t="s">
        <v>97</v>
      </c>
      <c r="D161" s="8" t="s">
        <v>97</v>
      </c>
      <c r="E161" s="8" t="s">
        <v>98</v>
      </c>
      <c r="F161" s="8" t="s">
        <v>98</v>
      </c>
      <c r="G161" s="8" t="s">
        <v>98</v>
      </c>
      <c r="H161" s="8" t="s">
        <v>98</v>
      </c>
      <c r="I161" s="8" t="s">
        <v>97</v>
      </c>
      <c r="J161" s="8" t="s">
        <v>98</v>
      </c>
      <c r="K161" s="8" t="s">
        <v>98</v>
      </c>
      <c r="L161" s="8" t="s">
        <v>97</v>
      </c>
      <c r="M161" s="8" t="s">
        <v>98</v>
      </c>
      <c r="N161" s="8" t="s">
        <v>98</v>
      </c>
      <c r="O161" s="8" t="s">
        <v>98</v>
      </c>
      <c r="P161" s="8" t="s">
        <v>98</v>
      </c>
      <c r="Q161" s="8" t="s">
        <v>98</v>
      </c>
      <c r="R161" s="8" t="s">
        <v>98</v>
      </c>
      <c r="S161" s="8" t="s">
        <v>98</v>
      </c>
    </row>
    <row r="162" spans="1:19" ht="15.75" x14ac:dyDescent="0.25">
      <c r="A162" s="6">
        <f>Questionnaire!A162</f>
        <v>160</v>
      </c>
      <c r="B162" s="8" t="s">
        <v>98</v>
      </c>
      <c r="C162" s="8" t="s">
        <v>97</v>
      </c>
      <c r="D162" s="8" t="s">
        <v>97</v>
      </c>
      <c r="E162" s="8" t="s">
        <v>97</v>
      </c>
      <c r="F162" s="8" t="s">
        <v>98</v>
      </c>
      <c r="G162" s="8" t="s">
        <v>98</v>
      </c>
      <c r="H162" s="8" t="s">
        <v>97</v>
      </c>
      <c r="I162" s="8" t="s">
        <v>98</v>
      </c>
      <c r="J162" s="8" t="s">
        <v>98</v>
      </c>
      <c r="K162" s="8" t="s">
        <v>98</v>
      </c>
      <c r="L162" s="8" t="s">
        <v>98</v>
      </c>
      <c r="M162" s="8" t="s">
        <v>98</v>
      </c>
      <c r="N162" s="8" t="s">
        <v>98</v>
      </c>
      <c r="O162" s="8" t="s">
        <v>98</v>
      </c>
      <c r="P162" s="8" t="s">
        <v>98</v>
      </c>
      <c r="Q162" s="8" t="s">
        <v>98</v>
      </c>
      <c r="R162" s="8" t="s">
        <v>98</v>
      </c>
      <c r="S162" s="8" t="s">
        <v>98</v>
      </c>
    </row>
    <row r="163" spans="1:19" ht="15.75" x14ac:dyDescent="0.25">
      <c r="A163" s="6">
        <f>Questionnaire!A163</f>
        <v>161</v>
      </c>
      <c r="B163" s="8" t="s">
        <v>98</v>
      </c>
      <c r="C163" s="8" t="s">
        <v>98</v>
      </c>
      <c r="D163" s="8" t="s">
        <v>98</v>
      </c>
      <c r="E163" s="8" t="s">
        <v>98</v>
      </c>
      <c r="F163" s="8" t="s">
        <v>98</v>
      </c>
      <c r="G163" s="8" t="s">
        <v>97</v>
      </c>
      <c r="H163" s="8" t="s">
        <v>97</v>
      </c>
      <c r="I163" s="8" t="s">
        <v>98</v>
      </c>
      <c r="J163" s="8" t="s">
        <v>98</v>
      </c>
      <c r="K163" s="8" t="s">
        <v>98</v>
      </c>
      <c r="L163" s="8" t="s">
        <v>98</v>
      </c>
      <c r="M163" s="8" t="s">
        <v>98</v>
      </c>
      <c r="N163" s="8" t="s">
        <v>98</v>
      </c>
      <c r="O163" s="8" t="s">
        <v>98</v>
      </c>
      <c r="P163" s="8" t="s">
        <v>98</v>
      </c>
      <c r="Q163" s="8" t="s">
        <v>98</v>
      </c>
      <c r="R163" s="8" t="s">
        <v>98</v>
      </c>
      <c r="S163" s="8" t="s">
        <v>98</v>
      </c>
    </row>
    <row r="164" spans="1:19" ht="15.75" x14ac:dyDescent="0.25">
      <c r="A164" s="6">
        <f>Questionnaire!A164</f>
        <v>162</v>
      </c>
      <c r="B164" s="8" t="s">
        <v>98</v>
      </c>
      <c r="C164" s="8" t="s">
        <v>97</v>
      </c>
      <c r="D164" s="8" t="s">
        <v>98</v>
      </c>
      <c r="E164" s="8" t="s">
        <v>98</v>
      </c>
      <c r="F164" s="8" t="s">
        <v>98</v>
      </c>
      <c r="G164" s="8" t="s">
        <v>97</v>
      </c>
      <c r="H164" s="8" t="s">
        <v>98</v>
      </c>
      <c r="I164" s="8" t="s">
        <v>97</v>
      </c>
      <c r="J164" s="8" t="s">
        <v>98</v>
      </c>
      <c r="K164" s="8" t="s">
        <v>97</v>
      </c>
      <c r="L164" s="8" t="s">
        <v>97</v>
      </c>
      <c r="M164" s="8" t="s">
        <v>98</v>
      </c>
      <c r="N164" s="8" t="s">
        <v>98</v>
      </c>
      <c r="O164" s="8" t="s">
        <v>98</v>
      </c>
      <c r="P164" s="8" t="s">
        <v>98</v>
      </c>
      <c r="Q164" s="8" t="s">
        <v>98</v>
      </c>
      <c r="R164" s="8" t="s">
        <v>98</v>
      </c>
      <c r="S164" s="8" t="s">
        <v>98</v>
      </c>
    </row>
    <row r="165" spans="1:19" ht="15.75" x14ac:dyDescent="0.25">
      <c r="A165" s="6">
        <f>Questionnaire!A165</f>
        <v>163</v>
      </c>
      <c r="B165" s="8" t="s">
        <v>97</v>
      </c>
      <c r="C165" s="8" t="s">
        <v>98</v>
      </c>
      <c r="D165" s="8" t="s">
        <v>98</v>
      </c>
      <c r="E165" s="8" t="s">
        <v>98</v>
      </c>
      <c r="F165" s="8" t="s">
        <v>98</v>
      </c>
      <c r="G165" s="8" t="s">
        <v>98</v>
      </c>
      <c r="H165" s="8" t="s">
        <v>98</v>
      </c>
      <c r="I165" s="8" t="s">
        <v>97</v>
      </c>
      <c r="J165" s="8" t="s">
        <v>98</v>
      </c>
      <c r="K165" s="8" t="s">
        <v>97</v>
      </c>
      <c r="L165" s="8" t="s">
        <v>97</v>
      </c>
      <c r="M165" s="8" t="s">
        <v>98</v>
      </c>
      <c r="N165" s="8" t="s">
        <v>98</v>
      </c>
      <c r="O165" s="8" t="s">
        <v>98</v>
      </c>
      <c r="P165" s="8" t="s">
        <v>98</v>
      </c>
      <c r="Q165" s="8" t="s">
        <v>98</v>
      </c>
      <c r="R165" s="8" t="s">
        <v>98</v>
      </c>
      <c r="S165" s="8" t="s">
        <v>98</v>
      </c>
    </row>
    <row r="166" spans="1:19" ht="15.75" x14ac:dyDescent="0.25">
      <c r="A166" s="6">
        <f>Questionnaire!A166</f>
        <v>164</v>
      </c>
      <c r="B166" s="8" t="s">
        <v>98</v>
      </c>
      <c r="C166" s="8" t="s">
        <v>98</v>
      </c>
      <c r="D166" s="8" t="s">
        <v>98</v>
      </c>
      <c r="E166" s="8" t="s">
        <v>98</v>
      </c>
      <c r="F166" s="8" t="s">
        <v>98</v>
      </c>
      <c r="G166" s="8" t="s">
        <v>97</v>
      </c>
      <c r="H166" s="8" t="s">
        <v>98</v>
      </c>
      <c r="I166" s="8" t="s">
        <v>97</v>
      </c>
      <c r="J166" s="8" t="s">
        <v>98</v>
      </c>
      <c r="K166" s="8" t="s">
        <v>98</v>
      </c>
      <c r="L166" s="8" t="s">
        <v>97</v>
      </c>
      <c r="M166" s="8" t="s">
        <v>98</v>
      </c>
      <c r="N166" s="8" t="s">
        <v>98</v>
      </c>
      <c r="O166" s="8" t="s">
        <v>98</v>
      </c>
      <c r="P166" s="8" t="s">
        <v>98</v>
      </c>
      <c r="Q166" s="8" t="s">
        <v>98</v>
      </c>
      <c r="R166" s="8" t="s">
        <v>98</v>
      </c>
      <c r="S166" s="8" t="s">
        <v>98</v>
      </c>
    </row>
    <row r="167" spans="1:19" ht="15.75" x14ac:dyDescent="0.25">
      <c r="A167" s="6">
        <f>Questionnaire!A167</f>
        <v>165</v>
      </c>
      <c r="B167" s="8" t="s">
        <v>98</v>
      </c>
      <c r="C167" s="8" t="s">
        <v>97</v>
      </c>
      <c r="D167" s="8" t="s">
        <v>97</v>
      </c>
      <c r="E167" s="8" t="s">
        <v>98</v>
      </c>
      <c r="F167" s="8" t="s">
        <v>98</v>
      </c>
      <c r="G167" s="8" t="s">
        <v>98</v>
      </c>
      <c r="H167" s="8" t="s">
        <v>98</v>
      </c>
      <c r="I167" s="8" t="s">
        <v>98</v>
      </c>
      <c r="J167" s="8" t="s">
        <v>98</v>
      </c>
      <c r="K167" s="8" t="s">
        <v>97</v>
      </c>
      <c r="L167" s="8" t="s">
        <v>97</v>
      </c>
      <c r="M167" s="8" t="s">
        <v>98</v>
      </c>
      <c r="N167" s="8" t="s">
        <v>98</v>
      </c>
      <c r="O167" s="8" t="s">
        <v>98</v>
      </c>
      <c r="P167" s="8" t="s">
        <v>98</v>
      </c>
      <c r="Q167" s="8" t="s">
        <v>98</v>
      </c>
      <c r="R167" s="8" t="s">
        <v>98</v>
      </c>
      <c r="S167" s="8" t="s">
        <v>98</v>
      </c>
    </row>
    <row r="168" spans="1:19" ht="15.75" x14ac:dyDescent="0.25">
      <c r="A168" s="6">
        <f>Questionnaire!A168</f>
        <v>166</v>
      </c>
      <c r="B168" s="8" t="s">
        <v>98</v>
      </c>
      <c r="C168" s="8" t="s">
        <v>97</v>
      </c>
      <c r="D168" s="8" t="s">
        <v>98</v>
      </c>
      <c r="E168" s="8" t="s">
        <v>98</v>
      </c>
      <c r="F168" s="8" t="s">
        <v>98</v>
      </c>
      <c r="G168" s="8" t="s">
        <v>98</v>
      </c>
      <c r="H168" s="8" t="s">
        <v>97</v>
      </c>
      <c r="I168" s="8" t="s">
        <v>98</v>
      </c>
      <c r="J168" s="8" t="s">
        <v>98</v>
      </c>
      <c r="K168" s="8" t="s">
        <v>97</v>
      </c>
      <c r="L168" s="8" t="s">
        <v>97</v>
      </c>
      <c r="M168" s="8" t="s">
        <v>98</v>
      </c>
      <c r="N168" s="8" t="s">
        <v>98</v>
      </c>
      <c r="O168" s="8" t="s">
        <v>98</v>
      </c>
      <c r="P168" s="8" t="s">
        <v>98</v>
      </c>
      <c r="Q168" s="8" t="s">
        <v>98</v>
      </c>
      <c r="R168" s="8" t="s">
        <v>98</v>
      </c>
      <c r="S168" s="8" t="s">
        <v>98</v>
      </c>
    </row>
    <row r="169" spans="1:19" ht="15.75" x14ac:dyDescent="0.25">
      <c r="A169" s="6">
        <f>Questionnaire!A169</f>
        <v>167</v>
      </c>
      <c r="B169" s="8" t="s">
        <v>98</v>
      </c>
      <c r="C169" s="8" t="s">
        <v>97</v>
      </c>
      <c r="D169" s="8" t="s">
        <v>97</v>
      </c>
      <c r="E169" s="8" t="s">
        <v>98</v>
      </c>
      <c r="F169" s="8" t="s">
        <v>98</v>
      </c>
      <c r="G169" s="8" t="s">
        <v>98</v>
      </c>
      <c r="H169" s="8" t="s">
        <v>98</v>
      </c>
      <c r="I169" s="8" t="s">
        <v>98</v>
      </c>
      <c r="J169" s="8" t="s">
        <v>98</v>
      </c>
      <c r="K169" s="8" t="s">
        <v>98</v>
      </c>
      <c r="L169" s="8" t="s">
        <v>98</v>
      </c>
      <c r="M169" s="8" t="s">
        <v>98</v>
      </c>
      <c r="N169" s="8" t="s">
        <v>98</v>
      </c>
      <c r="O169" s="8" t="s">
        <v>98</v>
      </c>
      <c r="P169" s="8" t="s">
        <v>98</v>
      </c>
      <c r="Q169" s="8" t="s">
        <v>98</v>
      </c>
      <c r="R169" s="8" t="s">
        <v>98</v>
      </c>
      <c r="S169" s="8" t="s">
        <v>98</v>
      </c>
    </row>
    <row r="170" spans="1:19" ht="15.75" x14ac:dyDescent="0.25">
      <c r="A170" s="6">
        <f>Questionnaire!A170</f>
        <v>168</v>
      </c>
      <c r="B170" s="8" t="s">
        <v>98</v>
      </c>
      <c r="C170" s="8" t="s">
        <v>97</v>
      </c>
      <c r="D170" s="8" t="s">
        <v>98</v>
      </c>
      <c r="E170" s="8" t="s">
        <v>98</v>
      </c>
      <c r="F170" s="8" t="s">
        <v>98</v>
      </c>
      <c r="G170" s="8" t="s">
        <v>98</v>
      </c>
      <c r="H170" s="8" t="s">
        <v>98</v>
      </c>
      <c r="I170" s="8" t="s">
        <v>98</v>
      </c>
      <c r="J170" s="8" t="s">
        <v>98</v>
      </c>
      <c r="K170" s="8" t="s">
        <v>97</v>
      </c>
      <c r="L170" s="8" t="s">
        <v>97</v>
      </c>
      <c r="M170" s="8" t="s">
        <v>98</v>
      </c>
      <c r="N170" s="8" t="s">
        <v>98</v>
      </c>
      <c r="O170" s="8" t="s">
        <v>98</v>
      </c>
      <c r="P170" s="8" t="s">
        <v>98</v>
      </c>
      <c r="Q170" s="8" t="s">
        <v>98</v>
      </c>
      <c r="R170" s="8" t="s">
        <v>98</v>
      </c>
      <c r="S170" s="8" t="s">
        <v>98</v>
      </c>
    </row>
    <row r="171" spans="1:19" ht="15.75" x14ac:dyDescent="0.25">
      <c r="A171" s="6">
        <f>Questionnaire!A171</f>
        <v>169</v>
      </c>
      <c r="B171" s="8" t="s">
        <v>98</v>
      </c>
      <c r="C171" s="8" t="s">
        <v>97</v>
      </c>
      <c r="D171" s="8" t="s">
        <v>97</v>
      </c>
      <c r="E171" s="8" t="s">
        <v>98</v>
      </c>
      <c r="F171" s="8" t="s">
        <v>98</v>
      </c>
      <c r="G171" s="8" t="s">
        <v>98</v>
      </c>
      <c r="H171" s="8" t="s">
        <v>98</v>
      </c>
      <c r="I171" s="8" t="s">
        <v>97</v>
      </c>
      <c r="J171" s="8" t="s">
        <v>97</v>
      </c>
      <c r="K171" s="8" t="s">
        <v>98</v>
      </c>
      <c r="L171" s="8" t="s">
        <v>97</v>
      </c>
      <c r="M171" s="8" t="s">
        <v>98</v>
      </c>
      <c r="N171" s="8" t="s">
        <v>98</v>
      </c>
      <c r="O171" s="8" t="s">
        <v>98</v>
      </c>
      <c r="P171" s="8" t="s">
        <v>98</v>
      </c>
      <c r="Q171" s="8" t="s">
        <v>98</v>
      </c>
      <c r="R171" s="8" t="s">
        <v>98</v>
      </c>
      <c r="S171" s="8" t="s">
        <v>98</v>
      </c>
    </row>
    <row r="172" spans="1:19" ht="15.75" x14ac:dyDescent="0.25">
      <c r="A172" s="6">
        <f>Questionnaire!A172</f>
        <v>170</v>
      </c>
      <c r="B172" s="8" t="s">
        <v>98</v>
      </c>
      <c r="C172" s="8" t="s">
        <v>98</v>
      </c>
      <c r="D172" s="8" t="s">
        <v>98</v>
      </c>
      <c r="E172" s="8" t="s">
        <v>98</v>
      </c>
      <c r="F172" s="8" t="s">
        <v>98</v>
      </c>
      <c r="G172" s="8" t="s">
        <v>97</v>
      </c>
      <c r="H172" s="8" t="s">
        <v>98</v>
      </c>
      <c r="I172" s="8" t="s">
        <v>98</v>
      </c>
      <c r="J172" s="8" t="s">
        <v>98</v>
      </c>
      <c r="K172" s="8" t="s">
        <v>98</v>
      </c>
      <c r="L172" s="8" t="s">
        <v>98</v>
      </c>
      <c r="M172" s="8" t="s">
        <v>98</v>
      </c>
      <c r="N172" s="8" t="s">
        <v>98</v>
      </c>
      <c r="O172" s="8" t="s">
        <v>98</v>
      </c>
      <c r="P172" s="8" t="s">
        <v>98</v>
      </c>
      <c r="Q172" s="8" t="s">
        <v>98</v>
      </c>
      <c r="R172" s="8" t="s">
        <v>98</v>
      </c>
      <c r="S172" s="8" t="s">
        <v>98</v>
      </c>
    </row>
    <row r="173" spans="1:19" ht="15.75" x14ac:dyDescent="0.25">
      <c r="A173" s="6">
        <f>Questionnaire!A173</f>
        <v>171</v>
      </c>
      <c r="B173" s="8" t="s">
        <v>98</v>
      </c>
      <c r="C173" s="8" t="s">
        <v>97</v>
      </c>
      <c r="D173" s="8" t="s">
        <v>97</v>
      </c>
      <c r="E173" s="8" t="s">
        <v>98</v>
      </c>
      <c r="F173" s="8" t="s">
        <v>98</v>
      </c>
      <c r="G173" s="8" t="s">
        <v>98</v>
      </c>
      <c r="H173" s="8" t="s">
        <v>97</v>
      </c>
      <c r="I173" s="8" t="s">
        <v>98</v>
      </c>
      <c r="J173" s="8" t="s">
        <v>98</v>
      </c>
      <c r="K173" s="8" t="s">
        <v>98</v>
      </c>
      <c r="L173" s="8" t="s">
        <v>97</v>
      </c>
      <c r="M173" s="8" t="s">
        <v>98</v>
      </c>
      <c r="N173" s="8" t="s">
        <v>98</v>
      </c>
      <c r="O173" s="8" t="s">
        <v>98</v>
      </c>
      <c r="P173" s="8" t="s">
        <v>98</v>
      </c>
      <c r="Q173" s="8" t="s">
        <v>98</v>
      </c>
      <c r="R173" s="8" t="s">
        <v>98</v>
      </c>
      <c r="S173" s="8" t="s">
        <v>98</v>
      </c>
    </row>
    <row r="174" spans="1:19" ht="15.75" x14ac:dyDescent="0.25">
      <c r="A174" s="6">
        <f>Questionnaire!A174</f>
        <v>172</v>
      </c>
      <c r="B174" s="8" t="s">
        <v>98</v>
      </c>
      <c r="C174" s="8" t="s">
        <v>97</v>
      </c>
      <c r="D174" s="8" t="s">
        <v>98</v>
      </c>
      <c r="E174" s="8" t="s">
        <v>98</v>
      </c>
      <c r="F174" s="8" t="s">
        <v>98</v>
      </c>
      <c r="G174" s="8" t="s">
        <v>98</v>
      </c>
      <c r="H174" s="8" t="s">
        <v>98</v>
      </c>
      <c r="I174" s="8" t="s">
        <v>97</v>
      </c>
      <c r="J174" s="8" t="s">
        <v>98</v>
      </c>
      <c r="K174" s="8" t="s">
        <v>97</v>
      </c>
      <c r="L174" s="8" t="s">
        <v>98</v>
      </c>
      <c r="M174" s="8" t="s">
        <v>98</v>
      </c>
      <c r="N174" s="8" t="s">
        <v>98</v>
      </c>
      <c r="O174" s="8" t="s">
        <v>98</v>
      </c>
      <c r="P174" s="8" t="s">
        <v>98</v>
      </c>
      <c r="Q174" s="8" t="s">
        <v>98</v>
      </c>
      <c r="R174" s="8" t="s">
        <v>98</v>
      </c>
      <c r="S174" s="8" t="s">
        <v>98</v>
      </c>
    </row>
    <row r="175" spans="1:19" ht="15.75" x14ac:dyDescent="0.25">
      <c r="A175" s="6">
        <f>Questionnaire!A175</f>
        <v>173</v>
      </c>
      <c r="B175" s="8" t="s">
        <v>98</v>
      </c>
      <c r="C175" s="8" t="s">
        <v>97</v>
      </c>
      <c r="D175" s="8" t="s">
        <v>97</v>
      </c>
      <c r="E175" s="8" t="s">
        <v>98</v>
      </c>
      <c r="F175" s="8" t="s">
        <v>98</v>
      </c>
      <c r="G175" s="8" t="s">
        <v>98</v>
      </c>
      <c r="H175" s="8" t="s">
        <v>98</v>
      </c>
      <c r="I175" s="8" t="s">
        <v>97</v>
      </c>
      <c r="J175" s="8" t="s">
        <v>98</v>
      </c>
      <c r="K175" s="8" t="s">
        <v>97</v>
      </c>
      <c r="L175" s="8" t="s">
        <v>97</v>
      </c>
      <c r="M175" s="8" t="s">
        <v>98</v>
      </c>
      <c r="N175" s="8" t="s">
        <v>98</v>
      </c>
      <c r="O175" s="8" t="s">
        <v>98</v>
      </c>
      <c r="P175" s="8" t="s">
        <v>98</v>
      </c>
      <c r="Q175" s="8" t="s">
        <v>98</v>
      </c>
      <c r="R175" s="8" t="s">
        <v>98</v>
      </c>
      <c r="S175" s="8" t="s">
        <v>98</v>
      </c>
    </row>
    <row r="176" spans="1:19" ht="15.75" x14ac:dyDescent="0.25">
      <c r="A176" s="6">
        <f>Questionnaire!A176</f>
        <v>174</v>
      </c>
      <c r="B176" s="8" t="s">
        <v>98</v>
      </c>
      <c r="C176" s="8" t="s">
        <v>97</v>
      </c>
      <c r="D176" s="8" t="s">
        <v>98</v>
      </c>
      <c r="E176" s="8" t="s">
        <v>98</v>
      </c>
      <c r="F176" s="8" t="s">
        <v>98</v>
      </c>
      <c r="G176" s="8" t="s">
        <v>98</v>
      </c>
      <c r="H176" s="8" t="s">
        <v>98</v>
      </c>
      <c r="I176" s="8" t="s">
        <v>98</v>
      </c>
      <c r="J176" s="8" t="s">
        <v>98</v>
      </c>
      <c r="K176" s="8" t="s">
        <v>98</v>
      </c>
      <c r="L176" s="8" t="s">
        <v>98</v>
      </c>
      <c r="M176" s="8" t="s">
        <v>98</v>
      </c>
      <c r="N176" s="8" t="s">
        <v>98</v>
      </c>
      <c r="O176" s="8" t="s">
        <v>98</v>
      </c>
      <c r="P176" s="8" t="s">
        <v>98</v>
      </c>
      <c r="Q176" s="8" t="s">
        <v>98</v>
      </c>
      <c r="R176" s="8" t="s">
        <v>98</v>
      </c>
      <c r="S176" s="8" t="s">
        <v>98</v>
      </c>
    </row>
    <row r="177" spans="1:19" ht="15.75" x14ac:dyDescent="0.25">
      <c r="A177" s="6">
        <f>Questionnaire!A177</f>
        <v>175</v>
      </c>
      <c r="B177" s="8" t="s">
        <v>98</v>
      </c>
      <c r="C177" s="8" t="s">
        <v>97</v>
      </c>
      <c r="D177" s="8" t="s">
        <v>98</v>
      </c>
      <c r="E177" s="8" t="s">
        <v>98</v>
      </c>
      <c r="F177" s="8" t="s">
        <v>98</v>
      </c>
      <c r="G177" s="8" t="s">
        <v>98</v>
      </c>
      <c r="H177" s="8" t="s">
        <v>98</v>
      </c>
      <c r="I177" s="8" t="s">
        <v>98</v>
      </c>
      <c r="J177" s="8" t="s">
        <v>98</v>
      </c>
      <c r="K177" s="8" t="s">
        <v>98</v>
      </c>
      <c r="L177" s="8" t="s">
        <v>98</v>
      </c>
      <c r="M177" s="8" t="s">
        <v>98</v>
      </c>
      <c r="N177" s="8" t="s">
        <v>98</v>
      </c>
      <c r="O177" s="8" t="s">
        <v>98</v>
      </c>
      <c r="P177" s="8" t="s">
        <v>98</v>
      </c>
      <c r="Q177" s="8" t="s">
        <v>98</v>
      </c>
      <c r="R177" s="8" t="s">
        <v>98</v>
      </c>
      <c r="S177" s="8" t="s">
        <v>98</v>
      </c>
    </row>
    <row r="178" spans="1:19" ht="15.75" x14ac:dyDescent="0.25">
      <c r="A178" s="6">
        <f>Questionnaire!A178</f>
        <v>176</v>
      </c>
      <c r="B178" s="8" t="s">
        <v>98</v>
      </c>
      <c r="C178" s="8" t="s">
        <v>97</v>
      </c>
      <c r="D178" s="8" t="s">
        <v>97</v>
      </c>
      <c r="E178" s="8" t="s">
        <v>98</v>
      </c>
      <c r="F178" s="8" t="s">
        <v>98</v>
      </c>
      <c r="G178" s="8" t="s">
        <v>98</v>
      </c>
      <c r="H178" s="8" t="s">
        <v>97</v>
      </c>
      <c r="I178" s="8" t="s">
        <v>98</v>
      </c>
      <c r="J178" s="8" t="s">
        <v>98</v>
      </c>
      <c r="K178" s="8" t="s">
        <v>98</v>
      </c>
      <c r="L178" s="8" t="s">
        <v>97</v>
      </c>
      <c r="M178" s="8" t="s">
        <v>98</v>
      </c>
      <c r="N178" s="8" t="s">
        <v>98</v>
      </c>
      <c r="O178" s="8" t="s">
        <v>98</v>
      </c>
      <c r="P178" s="8" t="s">
        <v>98</v>
      </c>
      <c r="Q178" s="8" t="s">
        <v>98</v>
      </c>
      <c r="R178" s="8" t="s">
        <v>98</v>
      </c>
      <c r="S178" s="8" t="s">
        <v>98</v>
      </c>
    </row>
    <row r="179" spans="1:19" ht="15.75" x14ac:dyDescent="0.25">
      <c r="A179" s="6">
        <f>Questionnaire!A179</f>
        <v>177</v>
      </c>
      <c r="B179" s="8" t="s">
        <v>98</v>
      </c>
      <c r="C179" s="8" t="s">
        <v>97</v>
      </c>
      <c r="D179" s="8" t="s">
        <v>98</v>
      </c>
      <c r="E179" s="8" t="s">
        <v>98</v>
      </c>
      <c r="F179" s="8" t="s">
        <v>98</v>
      </c>
      <c r="G179" s="8" t="s">
        <v>97</v>
      </c>
      <c r="H179" s="8" t="s">
        <v>97</v>
      </c>
      <c r="I179" s="8" t="s">
        <v>98</v>
      </c>
      <c r="J179" s="8" t="s">
        <v>98</v>
      </c>
      <c r="K179" s="8" t="s">
        <v>98</v>
      </c>
      <c r="L179" s="8" t="s">
        <v>97</v>
      </c>
      <c r="M179" s="8" t="s">
        <v>98</v>
      </c>
      <c r="N179" s="8" t="s">
        <v>98</v>
      </c>
      <c r="O179" s="8" t="s">
        <v>98</v>
      </c>
      <c r="P179" s="8" t="s">
        <v>98</v>
      </c>
      <c r="Q179" s="8" t="s">
        <v>98</v>
      </c>
      <c r="R179" s="8" t="s">
        <v>98</v>
      </c>
      <c r="S179" s="8" t="s">
        <v>98</v>
      </c>
    </row>
    <row r="180" spans="1:19" ht="15.75" x14ac:dyDescent="0.25">
      <c r="A180" s="6">
        <f>Questionnaire!A180</f>
        <v>178</v>
      </c>
      <c r="B180" s="8" t="s">
        <v>98</v>
      </c>
      <c r="C180" s="8" t="s">
        <v>97</v>
      </c>
      <c r="D180" s="8" t="s">
        <v>97</v>
      </c>
      <c r="E180" s="8" t="s">
        <v>97</v>
      </c>
      <c r="F180" s="8" t="s">
        <v>98</v>
      </c>
      <c r="G180" s="8" t="s">
        <v>98</v>
      </c>
      <c r="H180" s="8" t="s">
        <v>97</v>
      </c>
      <c r="I180" s="8" t="s">
        <v>98</v>
      </c>
      <c r="J180" s="8" t="s">
        <v>98</v>
      </c>
      <c r="K180" s="8" t="s">
        <v>98</v>
      </c>
      <c r="L180" s="8" t="s">
        <v>97</v>
      </c>
      <c r="M180" s="8" t="s">
        <v>98</v>
      </c>
      <c r="N180" s="8" t="s">
        <v>98</v>
      </c>
      <c r="O180" s="8" t="s">
        <v>98</v>
      </c>
      <c r="P180" s="8" t="s">
        <v>98</v>
      </c>
      <c r="Q180" s="8" t="s">
        <v>98</v>
      </c>
      <c r="R180" s="8" t="s">
        <v>98</v>
      </c>
      <c r="S180" s="8" t="s">
        <v>98</v>
      </c>
    </row>
    <row r="181" spans="1:19" ht="15.75" x14ac:dyDescent="0.25">
      <c r="A181" s="6">
        <f>Questionnaire!A181</f>
        <v>179</v>
      </c>
      <c r="B181" s="8" t="s">
        <v>98</v>
      </c>
      <c r="C181" s="8" t="s">
        <v>97</v>
      </c>
      <c r="D181" s="8" t="s">
        <v>98</v>
      </c>
      <c r="E181" s="8" t="s">
        <v>98</v>
      </c>
      <c r="F181" s="8" t="s">
        <v>98</v>
      </c>
      <c r="G181" s="8" t="s">
        <v>98</v>
      </c>
      <c r="H181" s="8" t="s">
        <v>98</v>
      </c>
      <c r="I181" s="8" t="s">
        <v>98</v>
      </c>
      <c r="J181" s="8" t="s">
        <v>98</v>
      </c>
      <c r="K181" s="8" t="s">
        <v>98</v>
      </c>
      <c r="L181" s="8" t="s">
        <v>98</v>
      </c>
      <c r="M181" s="8" t="s">
        <v>98</v>
      </c>
      <c r="N181" s="8" t="s">
        <v>98</v>
      </c>
      <c r="O181" s="8" t="s">
        <v>98</v>
      </c>
      <c r="P181" s="8" t="s">
        <v>98</v>
      </c>
      <c r="Q181" s="8" t="s">
        <v>98</v>
      </c>
      <c r="R181" s="8" t="s">
        <v>98</v>
      </c>
      <c r="S181" s="8" t="s">
        <v>98</v>
      </c>
    </row>
    <row r="182" spans="1:19" ht="15.75" x14ac:dyDescent="0.25">
      <c r="A182" s="6">
        <f>Questionnaire!A182</f>
        <v>180</v>
      </c>
      <c r="B182" s="8" t="s">
        <v>98</v>
      </c>
      <c r="C182" s="8" t="s">
        <v>98</v>
      </c>
      <c r="D182" s="8" t="s">
        <v>98</v>
      </c>
      <c r="E182" s="8" t="s">
        <v>98</v>
      </c>
      <c r="F182" s="8" t="s">
        <v>98</v>
      </c>
      <c r="G182" s="8" t="s">
        <v>97</v>
      </c>
      <c r="H182" s="8" t="s">
        <v>97</v>
      </c>
      <c r="I182" s="8" t="s">
        <v>98</v>
      </c>
      <c r="J182" s="8" t="s">
        <v>98</v>
      </c>
      <c r="K182" s="8" t="s">
        <v>98</v>
      </c>
      <c r="L182" s="8" t="s">
        <v>97</v>
      </c>
      <c r="M182" s="8" t="s">
        <v>98</v>
      </c>
      <c r="N182" s="8" t="s">
        <v>98</v>
      </c>
      <c r="O182" s="8" t="s">
        <v>98</v>
      </c>
      <c r="P182" s="8" t="s">
        <v>98</v>
      </c>
      <c r="Q182" s="8" t="s">
        <v>98</v>
      </c>
      <c r="R182" s="8" t="s">
        <v>98</v>
      </c>
      <c r="S182" s="8" t="s">
        <v>98</v>
      </c>
    </row>
    <row r="183" spans="1:19" ht="15.75" x14ac:dyDescent="0.25">
      <c r="A183" s="6">
        <f>Questionnaire!A183</f>
        <v>181</v>
      </c>
      <c r="B183" s="8" t="s">
        <v>98</v>
      </c>
      <c r="C183" s="8" t="s">
        <v>97</v>
      </c>
      <c r="D183" s="8" t="s">
        <v>98</v>
      </c>
      <c r="E183" s="8" t="s">
        <v>98</v>
      </c>
      <c r="F183" s="8" t="s">
        <v>98</v>
      </c>
      <c r="G183" s="8" t="s">
        <v>97</v>
      </c>
      <c r="H183" s="8" t="s">
        <v>98</v>
      </c>
      <c r="I183" s="8" t="s">
        <v>98</v>
      </c>
      <c r="J183" s="8" t="s">
        <v>98</v>
      </c>
      <c r="K183" s="8" t="s">
        <v>98</v>
      </c>
      <c r="L183" s="8" t="s">
        <v>98</v>
      </c>
      <c r="M183" s="8" t="s">
        <v>98</v>
      </c>
      <c r="N183" s="8" t="s">
        <v>98</v>
      </c>
      <c r="O183" s="8" t="s">
        <v>98</v>
      </c>
      <c r="P183" s="8" t="s">
        <v>98</v>
      </c>
      <c r="Q183" s="8" t="s">
        <v>98</v>
      </c>
      <c r="R183" s="8" t="s">
        <v>98</v>
      </c>
      <c r="S183" s="8" t="s">
        <v>97</v>
      </c>
    </row>
    <row r="184" spans="1:19" ht="15.75" x14ac:dyDescent="0.25">
      <c r="A184" s="6">
        <f>Questionnaire!A184</f>
        <v>182</v>
      </c>
      <c r="B184" s="8" t="s">
        <v>98</v>
      </c>
      <c r="C184" s="8" t="s">
        <v>97</v>
      </c>
      <c r="D184" s="8" t="s">
        <v>97</v>
      </c>
      <c r="E184" s="8" t="s">
        <v>98</v>
      </c>
      <c r="F184" s="8" t="s">
        <v>98</v>
      </c>
      <c r="G184" s="8" t="s">
        <v>98</v>
      </c>
      <c r="H184" s="8" t="s">
        <v>97</v>
      </c>
      <c r="I184" s="8" t="s">
        <v>98</v>
      </c>
      <c r="J184" s="8" t="s">
        <v>97</v>
      </c>
      <c r="K184" s="8" t="s">
        <v>98</v>
      </c>
      <c r="L184" s="8" t="s">
        <v>98</v>
      </c>
      <c r="M184" s="8" t="s">
        <v>98</v>
      </c>
      <c r="N184" s="8" t="s">
        <v>98</v>
      </c>
      <c r="O184" s="8" t="s">
        <v>98</v>
      </c>
      <c r="P184" s="8" t="s">
        <v>98</v>
      </c>
      <c r="Q184" s="8" t="s">
        <v>98</v>
      </c>
      <c r="R184" s="8" t="s">
        <v>98</v>
      </c>
      <c r="S184" s="8" t="s">
        <v>98</v>
      </c>
    </row>
    <row r="185" spans="1:19" ht="15.75" x14ac:dyDescent="0.25">
      <c r="A185" s="6">
        <f>Questionnaire!A185</f>
        <v>183</v>
      </c>
      <c r="B185" s="8" t="s">
        <v>98</v>
      </c>
      <c r="C185" s="8" t="s">
        <v>97</v>
      </c>
      <c r="D185" s="8" t="s">
        <v>97</v>
      </c>
      <c r="E185" s="8" t="s">
        <v>98</v>
      </c>
      <c r="F185" s="8" t="s">
        <v>98</v>
      </c>
      <c r="G185" s="8" t="s">
        <v>98</v>
      </c>
      <c r="H185" s="8" t="s">
        <v>98</v>
      </c>
      <c r="I185" s="8" t="s">
        <v>97</v>
      </c>
      <c r="J185" s="8" t="s">
        <v>97</v>
      </c>
      <c r="K185" s="8" t="s">
        <v>97</v>
      </c>
      <c r="L185" s="8" t="s">
        <v>97</v>
      </c>
      <c r="M185" s="8" t="s">
        <v>98</v>
      </c>
      <c r="N185" s="8" t="s">
        <v>98</v>
      </c>
      <c r="O185" s="8" t="s">
        <v>98</v>
      </c>
      <c r="P185" s="8" t="s">
        <v>98</v>
      </c>
      <c r="Q185" s="8" t="s">
        <v>98</v>
      </c>
      <c r="R185" s="8" t="s">
        <v>98</v>
      </c>
      <c r="S185" s="8" t="s">
        <v>98</v>
      </c>
    </row>
    <row r="186" spans="1:19" ht="15.75" x14ac:dyDescent="0.25">
      <c r="A186" s="6">
        <f>Questionnaire!A186</f>
        <v>184</v>
      </c>
      <c r="B186" s="8" t="s">
        <v>98</v>
      </c>
      <c r="C186" s="8" t="s">
        <v>97</v>
      </c>
      <c r="D186" s="8" t="s">
        <v>97</v>
      </c>
      <c r="E186" s="8" t="s">
        <v>98</v>
      </c>
      <c r="F186" s="8" t="s">
        <v>98</v>
      </c>
      <c r="G186" s="8" t="s">
        <v>98</v>
      </c>
      <c r="H186" s="8" t="s">
        <v>97</v>
      </c>
      <c r="I186" s="8" t="s">
        <v>98</v>
      </c>
      <c r="J186" s="8" t="s">
        <v>97</v>
      </c>
      <c r="K186" s="8" t="s">
        <v>97</v>
      </c>
      <c r="L186" s="8" t="s">
        <v>97</v>
      </c>
      <c r="M186" s="8" t="s">
        <v>98</v>
      </c>
      <c r="N186" s="8" t="s">
        <v>98</v>
      </c>
      <c r="O186" s="8" t="s">
        <v>98</v>
      </c>
      <c r="P186" s="8" t="s">
        <v>97</v>
      </c>
      <c r="Q186" s="8" t="s">
        <v>98</v>
      </c>
      <c r="R186" s="8" t="s">
        <v>98</v>
      </c>
      <c r="S186" s="8" t="s">
        <v>98</v>
      </c>
    </row>
    <row r="187" spans="1:19" ht="15.75" x14ac:dyDescent="0.25">
      <c r="A187" s="6">
        <f>Questionnaire!A187</f>
        <v>185</v>
      </c>
      <c r="B187" s="8" t="s">
        <v>98</v>
      </c>
      <c r="C187" s="8" t="s">
        <v>97</v>
      </c>
      <c r="D187" s="8" t="s">
        <v>97</v>
      </c>
      <c r="E187" s="8" t="s">
        <v>98</v>
      </c>
      <c r="F187" s="8" t="s">
        <v>98</v>
      </c>
      <c r="G187" s="8" t="s">
        <v>98</v>
      </c>
      <c r="H187" s="8" t="s">
        <v>97</v>
      </c>
      <c r="I187" s="8" t="s">
        <v>98</v>
      </c>
      <c r="J187" s="8" t="s">
        <v>98</v>
      </c>
      <c r="K187" s="8" t="s">
        <v>98</v>
      </c>
      <c r="L187" s="8" t="s">
        <v>98</v>
      </c>
      <c r="M187" s="8" t="s">
        <v>98</v>
      </c>
      <c r="N187" s="8" t="s">
        <v>98</v>
      </c>
      <c r="O187" s="8" t="s">
        <v>98</v>
      </c>
      <c r="P187" s="8" t="s">
        <v>98</v>
      </c>
      <c r="Q187" s="8" t="s">
        <v>98</v>
      </c>
      <c r="R187" s="8" t="s">
        <v>98</v>
      </c>
      <c r="S187" s="8" t="s">
        <v>98</v>
      </c>
    </row>
    <row r="188" spans="1:19" ht="15.75" x14ac:dyDescent="0.25">
      <c r="A188" s="6">
        <f>Questionnaire!A188</f>
        <v>186</v>
      </c>
      <c r="B188" s="8" t="s">
        <v>98</v>
      </c>
      <c r="C188" s="8" t="s">
        <v>97</v>
      </c>
      <c r="D188" s="8" t="s">
        <v>97</v>
      </c>
      <c r="E188" s="8" t="s">
        <v>98</v>
      </c>
      <c r="F188" s="8" t="s">
        <v>98</v>
      </c>
      <c r="G188" s="8" t="s">
        <v>98</v>
      </c>
      <c r="H188" s="8" t="s">
        <v>98</v>
      </c>
      <c r="I188" s="8" t="s">
        <v>98</v>
      </c>
      <c r="J188" s="8" t="s">
        <v>98</v>
      </c>
      <c r="K188" s="8" t="s">
        <v>97</v>
      </c>
      <c r="L188" s="8" t="s">
        <v>97</v>
      </c>
      <c r="M188" s="8" t="s">
        <v>98</v>
      </c>
      <c r="N188" s="8" t="s">
        <v>98</v>
      </c>
      <c r="O188" s="8" t="s">
        <v>98</v>
      </c>
      <c r="P188" s="8" t="s">
        <v>98</v>
      </c>
      <c r="Q188" s="8" t="s">
        <v>98</v>
      </c>
      <c r="R188" s="8" t="s">
        <v>98</v>
      </c>
      <c r="S188" s="8" t="s">
        <v>98</v>
      </c>
    </row>
    <row r="189" spans="1:19" ht="15.75" x14ac:dyDescent="0.25">
      <c r="A189" s="6">
        <f>Questionnaire!A189</f>
        <v>187</v>
      </c>
      <c r="B189" s="8" t="s">
        <v>98</v>
      </c>
      <c r="C189" s="8" t="s">
        <v>97</v>
      </c>
      <c r="D189" s="8" t="s">
        <v>98</v>
      </c>
      <c r="E189" s="8" t="s">
        <v>98</v>
      </c>
      <c r="F189" s="8" t="s">
        <v>98</v>
      </c>
      <c r="G189" s="8" t="s">
        <v>98</v>
      </c>
      <c r="H189" s="8" t="s">
        <v>98</v>
      </c>
      <c r="I189" s="8" t="s">
        <v>98</v>
      </c>
      <c r="J189" s="8" t="s">
        <v>98</v>
      </c>
      <c r="K189" s="8" t="s">
        <v>98</v>
      </c>
      <c r="L189" s="8" t="s">
        <v>97</v>
      </c>
      <c r="M189" s="8" t="s">
        <v>98</v>
      </c>
      <c r="N189" s="8" t="s">
        <v>98</v>
      </c>
      <c r="O189" s="8" t="s">
        <v>98</v>
      </c>
      <c r="P189" s="8" t="s">
        <v>98</v>
      </c>
      <c r="Q189" s="8" t="s">
        <v>98</v>
      </c>
      <c r="R189" s="8" t="s">
        <v>98</v>
      </c>
      <c r="S189" s="8" t="s">
        <v>98</v>
      </c>
    </row>
    <row r="190" spans="1:19" ht="15.75" x14ac:dyDescent="0.25">
      <c r="A190" s="6">
        <f>Questionnaire!A190</f>
        <v>188</v>
      </c>
      <c r="B190" s="8" t="s">
        <v>98</v>
      </c>
      <c r="C190" s="8" t="s">
        <v>97</v>
      </c>
      <c r="D190" s="8" t="s">
        <v>97</v>
      </c>
      <c r="E190" s="8" t="s">
        <v>97</v>
      </c>
      <c r="F190" s="8" t="s">
        <v>98</v>
      </c>
      <c r="G190" s="8" t="s">
        <v>98</v>
      </c>
      <c r="H190" s="8" t="s">
        <v>98</v>
      </c>
      <c r="I190" s="8" t="s">
        <v>97</v>
      </c>
      <c r="J190" s="8" t="s">
        <v>97</v>
      </c>
      <c r="K190" s="8" t="s">
        <v>97</v>
      </c>
      <c r="L190" s="8" t="s">
        <v>97</v>
      </c>
      <c r="M190" s="8" t="s">
        <v>98</v>
      </c>
      <c r="N190" s="8" t="s">
        <v>98</v>
      </c>
      <c r="O190" s="8" t="s">
        <v>98</v>
      </c>
      <c r="P190" s="8" t="s">
        <v>98</v>
      </c>
      <c r="Q190" s="8" t="s">
        <v>98</v>
      </c>
      <c r="R190" s="8" t="s">
        <v>98</v>
      </c>
      <c r="S190" s="8" t="s">
        <v>98</v>
      </c>
    </row>
    <row r="191" spans="1:19" ht="15.75" x14ac:dyDescent="0.25">
      <c r="A191" s="6">
        <f>Questionnaire!A191</f>
        <v>189</v>
      </c>
      <c r="B191" s="8" t="s">
        <v>98</v>
      </c>
      <c r="C191" s="8" t="s">
        <v>98</v>
      </c>
      <c r="D191" s="8" t="s">
        <v>98</v>
      </c>
      <c r="E191" s="8" t="s">
        <v>98</v>
      </c>
      <c r="F191" s="8" t="s">
        <v>98</v>
      </c>
      <c r="G191" s="8" t="s">
        <v>97</v>
      </c>
      <c r="H191" s="8" t="s">
        <v>97</v>
      </c>
      <c r="I191" s="8" t="s">
        <v>98</v>
      </c>
      <c r="J191" s="8" t="s">
        <v>97</v>
      </c>
      <c r="K191" s="8" t="s">
        <v>98</v>
      </c>
      <c r="L191" s="8" t="s">
        <v>97</v>
      </c>
      <c r="M191" s="8" t="s">
        <v>98</v>
      </c>
      <c r="N191" s="8" t="s">
        <v>98</v>
      </c>
      <c r="O191" s="8" t="s">
        <v>98</v>
      </c>
      <c r="P191" s="8" t="s">
        <v>98</v>
      </c>
      <c r="Q191" s="8" t="s">
        <v>98</v>
      </c>
      <c r="R191" s="8" t="s">
        <v>98</v>
      </c>
      <c r="S191" s="8" t="s">
        <v>98</v>
      </c>
    </row>
    <row r="192" spans="1:19" ht="15.75" x14ac:dyDescent="0.25">
      <c r="A192" s="6">
        <f>Questionnaire!A192</f>
        <v>190</v>
      </c>
      <c r="B192" s="8" t="s">
        <v>98</v>
      </c>
      <c r="C192" s="8" t="s">
        <v>97</v>
      </c>
      <c r="D192" s="8" t="s">
        <v>98</v>
      </c>
      <c r="E192" s="8" t="s">
        <v>98</v>
      </c>
      <c r="F192" s="8" t="s">
        <v>98</v>
      </c>
      <c r="G192" s="8" t="s">
        <v>97</v>
      </c>
      <c r="H192" s="8" t="s">
        <v>98</v>
      </c>
      <c r="I192" s="8" t="s">
        <v>97</v>
      </c>
      <c r="J192" s="8" t="s">
        <v>98</v>
      </c>
      <c r="K192" s="8" t="s">
        <v>98</v>
      </c>
      <c r="L192" s="8" t="s">
        <v>97</v>
      </c>
      <c r="M192" s="8" t="s">
        <v>98</v>
      </c>
      <c r="N192" s="8" t="s">
        <v>98</v>
      </c>
      <c r="O192" s="8" t="s">
        <v>98</v>
      </c>
      <c r="P192" s="8" t="s">
        <v>98</v>
      </c>
      <c r="Q192" s="8" t="s">
        <v>98</v>
      </c>
      <c r="R192" s="8" t="s">
        <v>98</v>
      </c>
      <c r="S192" s="8" t="s">
        <v>97</v>
      </c>
    </row>
    <row r="193" spans="1:19" ht="15.75" x14ac:dyDescent="0.25">
      <c r="A193" s="6">
        <f>Questionnaire!A193</f>
        <v>191</v>
      </c>
      <c r="B193" s="8" t="s">
        <v>98</v>
      </c>
      <c r="C193" s="8" t="s">
        <v>97</v>
      </c>
      <c r="D193" s="8" t="s">
        <v>98</v>
      </c>
      <c r="E193" s="8" t="s">
        <v>98</v>
      </c>
      <c r="F193" s="8" t="s">
        <v>98</v>
      </c>
      <c r="G193" s="8" t="s">
        <v>98</v>
      </c>
      <c r="H193" s="8" t="s">
        <v>98</v>
      </c>
      <c r="I193" s="8" t="s">
        <v>98</v>
      </c>
      <c r="J193" s="8" t="s">
        <v>97</v>
      </c>
      <c r="K193" s="8" t="s">
        <v>98</v>
      </c>
      <c r="L193" s="8" t="s">
        <v>97</v>
      </c>
      <c r="M193" s="8" t="s">
        <v>98</v>
      </c>
      <c r="N193" s="8" t="s">
        <v>98</v>
      </c>
      <c r="O193" s="8" t="s">
        <v>98</v>
      </c>
      <c r="P193" s="8" t="s">
        <v>98</v>
      </c>
      <c r="Q193" s="8" t="s">
        <v>98</v>
      </c>
      <c r="R193" s="8" t="s">
        <v>98</v>
      </c>
      <c r="S193" s="8" t="s">
        <v>98</v>
      </c>
    </row>
    <row r="194" spans="1:19" ht="15.75" x14ac:dyDescent="0.25">
      <c r="A194" s="6">
        <f>Questionnaire!A194</f>
        <v>192</v>
      </c>
      <c r="B194" s="8" t="s">
        <v>98</v>
      </c>
      <c r="C194" s="8" t="s">
        <v>98</v>
      </c>
      <c r="D194" s="8" t="s">
        <v>98</v>
      </c>
      <c r="E194" s="8" t="s">
        <v>98</v>
      </c>
      <c r="F194" s="8" t="s">
        <v>98</v>
      </c>
      <c r="G194" s="8" t="s">
        <v>97</v>
      </c>
      <c r="H194" s="8" t="s">
        <v>97</v>
      </c>
      <c r="I194" s="8" t="s">
        <v>98</v>
      </c>
      <c r="J194" s="8" t="s">
        <v>98</v>
      </c>
      <c r="K194" s="8" t="s">
        <v>98</v>
      </c>
      <c r="L194" s="8" t="s">
        <v>98</v>
      </c>
      <c r="M194" s="8" t="s">
        <v>98</v>
      </c>
      <c r="N194" s="8" t="s">
        <v>98</v>
      </c>
      <c r="O194" s="8" t="s">
        <v>98</v>
      </c>
      <c r="P194" s="8" t="s">
        <v>98</v>
      </c>
      <c r="Q194" s="8" t="s">
        <v>98</v>
      </c>
      <c r="R194" s="8" t="s">
        <v>98</v>
      </c>
      <c r="S194" s="8" t="s">
        <v>97</v>
      </c>
    </row>
    <row r="195" spans="1:19" ht="15.75" x14ac:dyDescent="0.25">
      <c r="A195" s="6">
        <f>Questionnaire!A195</f>
        <v>193</v>
      </c>
      <c r="B195" s="8" t="s">
        <v>98</v>
      </c>
      <c r="C195" s="8" t="s">
        <v>97</v>
      </c>
      <c r="D195" s="8" t="s">
        <v>97</v>
      </c>
      <c r="E195" s="8" t="s">
        <v>98</v>
      </c>
      <c r="F195" s="8" t="s">
        <v>98</v>
      </c>
      <c r="G195" s="8" t="s">
        <v>98</v>
      </c>
      <c r="H195" s="8" t="s">
        <v>98</v>
      </c>
      <c r="I195" s="8" t="s">
        <v>97</v>
      </c>
      <c r="J195" s="8" t="s">
        <v>97</v>
      </c>
      <c r="K195" s="8" t="s">
        <v>98</v>
      </c>
      <c r="L195" s="8" t="s">
        <v>98</v>
      </c>
      <c r="M195" s="8" t="s">
        <v>98</v>
      </c>
      <c r="N195" s="8" t="s">
        <v>98</v>
      </c>
      <c r="O195" s="8" t="s">
        <v>98</v>
      </c>
      <c r="P195" s="8" t="s">
        <v>98</v>
      </c>
      <c r="Q195" s="8" t="s">
        <v>98</v>
      </c>
      <c r="R195" s="8" t="s">
        <v>98</v>
      </c>
      <c r="S195" s="8" t="s">
        <v>97</v>
      </c>
    </row>
    <row r="196" spans="1:19" ht="15.75" x14ac:dyDescent="0.25">
      <c r="A196" s="6">
        <f>Questionnaire!A196</f>
        <v>194</v>
      </c>
      <c r="B196" s="8" t="s">
        <v>98</v>
      </c>
      <c r="C196" s="8" t="s">
        <v>97</v>
      </c>
      <c r="D196" s="8" t="s">
        <v>97</v>
      </c>
      <c r="E196" s="8" t="s">
        <v>98</v>
      </c>
      <c r="F196" s="8" t="s">
        <v>98</v>
      </c>
      <c r="G196" s="8" t="s">
        <v>98</v>
      </c>
      <c r="H196" s="8" t="s">
        <v>98</v>
      </c>
      <c r="I196" s="8" t="s">
        <v>97</v>
      </c>
      <c r="J196" s="8" t="s">
        <v>98</v>
      </c>
      <c r="K196" s="8" t="s">
        <v>97</v>
      </c>
      <c r="L196" s="8" t="s">
        <v>97</v>
      </c>
      <c r="M196" s="8" t="s">
        <v>98</v>
      </c>
      <c r="N196" s="8" t="s">
        <v>98</v>
      </c>
      <c r="O196" s="8" t="s">
        <v>98</v>
      </c>
      <c r="P196" s="8" t="s">
        <v>98</v>
      </c>
      <c r="Q196" s="8" t="s">
        <v>98</v>
      </c>
      <c r="R196" s="8" t="s">
        <v>98</v>
      </c>
      <c r="S196" s="8" t="s">
        <v>98</v>
      </c>
    </row>
    <row r="197" spans="1:19" ht="15.75" x14ac:dyDescent="0.25">
      <c r="A197" s="6">
        <f>Questionnaire!A197</f>
        <v>195</v>
      </c>
      <c r="B197" s="8" t="s">
        <v>98</v>
      </c>
      <c r="C197" s="8" t="s">
        <v>98</v>
      </c>
      <c r="D197" s="8" t="s">
        <v>98</v>
      </c>
      <c r="E197" s="8" t="s">
        <v>98</v>
      </c>
      <c r="F197" s="8" t="s">
        <v>98</v>
      </c>
      <c r="G197" s="8" t="s">
        <v>97</v>
      </c>
      <c r="H197" s="8" t="s">
        <v>97</v>
      </c>
      <c r="I197" s="8" t="s">
        <v>98</v>
      </c>
      <c r="J197" s="8" t="s">
        <v>98</v>
      </c>
      <c r="K197" s="8" t="s">
        <v>98</v>
      </c>
      <c r="L197" s="8" t="s">
        <v>98</v>
      </c>
      <c r="M197" s="8" t="s">
        <v>98</v>
      </c>
      <c r="N197" s="8" t="s">
        <v>98</v>
      </c>
      <c r="O197" s="8" t="s">
        <v>98</v>
      </c>
      <c r="P197" s="8" t="s">
        <v>98</v>
      </c>
      <c r="Q197" s="8" t="s">
        <v>98</v>
      </c>
      <c r="R197" s="8" t="s">
        <v>98</v>
      </c>
      <c r="S197" s="8" t="s">
        <v>98</v>
      </c>
    </row>
    <row r="198" spans="1:19" ht="15.75" x14ac:dyDescent="0.25">
      <c r="A198" s="6">
        <f>Questionnaire!A198</f>
        <v>196</v>
      </c>
      <c r="B198" s="8" t="s">
        <v>98</v>
      </c>
      <c r="C198" s="8" t="s">
        <v>98</v>
      </c>
      <c r="D198" s="8" t="s">
        <v>98</v>
      </c>
      <c r="E198" s="8" t="s">
        <v>98</v>
      </c>
      <c r="F198" s="8" t="s">
        <v>98</v>
      </c>
      <c r="G198" s="8" t="s">
        <v>97</v>
      </c>
      <c r="H198" s="8" t="s">
        <v>98</v>
      </c>
      <c r="I198" s="8" t="s">
        <v>97</v>
      </c>
      <c r="J198" s="8" t="s">
        <v>98</v>
      </c>
      <c r="K198" s="8" t="s">
        <v>97</v>
      </c>
      <c r="L198" s="8" t="s">
        <v>97</v>
      </c>
      <c r="M198" s="8" t="s">
        <v>98</v>
      </c>
      <c r="N198" s="8" t="s">
        <v>98</v>
      </c>
      <c r="O198" s="8" t="s">
        <v>98</v>
      </c>
      <c r="P198" s="8" t="s">
        <v>98</v>
      </c>
      <c r="Q198" s="8" t="s">
        <v>98</v>
      </c>
      <c r="R198" s="8" t="s">
        <v>98</v>
      </c>
      <c r="S198" s="8" t="s">
        <v>98</v>
      </c>
    </row>
    <row r="199" spans="1:19" ht="15.75" x14ac:dyDescent="0.25">
      <c r="A199" s="6">
        <f>Questionnaire!A199</f>
        <v>197</v>
      </c>
      <c r="B199" s="8" t="s">
        <v>98</v>
      </c>
      <c r="C199" s="8" t="s">
        <v>98</v>
      </c>
      <c r="D199" s="8" t="s">
        <v>98</v>
      </c>
      <c r="E199" s="8" t="s">
        <v>98</v>
      </c>
      <c r="F199" s="8" t="s">
        <v>98</v>
      </c>
      <c r="G199" s="8" t="s">
        <v>97</v>
      </c>
      <c r="H199" s="8" t="s">
        <v>98</v>
      </c>
      <c r="I199" s="8" t="s">
        <v>97</v>
      </c>
      <c r="J199" s="8" t="s">
        <v>98</v>
      </c>
      <c r="K199" s="8" t="s">
        <v>97</v>
      </c>
      <c r="L199" s="8" t="s">
        <v>97</v>
      </c>
      <c r="M199" s="8" t="s">
        <v>98</v>
      </c>
      <c r="N199" s="8" t="s">
        <v>98</v>
      </c>
      <c r="O199" s="8" t="s">
        <v>98</v>
      </c>
      <c r="P199" s="8" t="s">
        <v>98</v>
      </c>
      <c r="Q199" s="8" t="s">
        <v>98</v>
      </c>
      <c r="R199" s="8" t="s">
        <v>98</v>
      </c>
      <c r="S199" s="8" t="s">
        <v>98</v>
      </c>
    </row>
    <row r="200" spans="1:19" ht="15.75" x14ac:dyDescent="0.25">
      <c r="A200" s="6">
        <f>Questionnaire!A200</f>
        <v>198</v>
      </c>
      <c r="B200" s="8" t="s">
        <v>98</v>
      </c>
      <c r="C200" s="8" t="s">
        <v>97</v>
      </c>
      <c r="D200" s="8" t="s">
        <v>98</v>
      </c>
      <c r="E200" s="8" t="s">
        <v>98</v>
      </c>
      <c r="F200" s="8" t="s">
        <v>98</v>
      </c>
      <c r="G200" s="8" t="s">
        <v>98</v>
      </c>
      <c r="H200" s="8" t="s">
        <v>98</v>
      </c>
      <c r="I200" s="8" t="s">
        <v>98</v>
      </c>
      <c r="J200" s="8" t="s">
        <v>97</v>
      </c>
      <c r="K200" s="8" t="s">
        <v>97</v>
      </c>
      <c r="L200" s="8" t="s">
        <v>98</v>
      </c>
      <c r="M200" s="8" t="s">
        <v>98</v>
      </c>
      <c r="N200" s="8" t="s">
        <v>98</v>
      </c>
      <c r="O200" s="8" t="s">
        <v>98</v>
      </c>
      <c r="P200" s="8" t="s">
        <v>98</v>
      </c>
      <c r="Q200" s="8" t="s">
        <v>98</v>
      </c>
      <c r="R200" s="8" t="s">
        <v>98</v>
      </c>
      <c r="S200" s="8" t="s">
        <v>97</v>
      </c>
    </row>
    <row r="201" spans="1:19" ht="15.75" x14ac:dyDescent="0.25">
      <c r="A201" s="6">
        <f>Questionnaire!A201</f>
        <v>199</v>
      </c>
      <c r="B201" s="8" t="s">
        <v>98</v>
      </c>
      <c r="C201" s="8" t="s">
        <v>97</v>
      </c>
      <c r="D201" s="8" t="s">
        <v>98</v>
      </c>
      <c r="E201" s="8" t="s">
        <v>98</v>
      </c>
      <c r="F201" s="8" t="s">
        <v>98</v>
      </c>
      <c r="G201" s="8" t="s">
        <v>98</v>
      </c>
      <c r="H201" s="8" t="s">
        <v>98</v>
      </c>
      <c r="I201" s="8" t="s">
        <v>98</v>
      </c>
      <c r="J201" s="8" t="s">
        <v>97</v>
      </c>
      <c r="K201" s="8" t="s">
        <v>98</v>
      </c>
      <c r="L201" s="8" t="s">
        <v>97</v>
      </c>
      <c r="M201" s="8" t="s">
        <v>98</v>
      </c>
      <c r="N201" s="8" t="s">
        <v>98</v>
      </c>
      <c r="O201" s="8" t="s">
        <v>98</v>
      </c>
      <c r="P201" s="8" t="s">
        <v>98</v>
      </c>
      <c r="Q201" s="8" t="s">
        <v>98</v>
      </c>
      <c r="R201" s="8" t="s">
        <v>98</v>
      </c>
      <c r="S201" s="8" t="s">
        <v>98</v>
      </c>
    </row>
    <row r="202" spans="1:19" ht="15.75" x14ac:dyDescent="0.25">
      <c r="A202" s="6">
        <f>Questionnaire!A202</f>
        <v>200</v>
      </c>
      <c r="B202" s="8" t="s">
        <v>98</v>
      </c>
      <c r="C202" s="8" t="s">
        <v>97</v>
      </c>
      <c r="D202" s="8" t="s">
        <v>98</v>
      </c>
      <c r="E202" s="8" t="s">
        <v>98</v>
      </c>
      <c r="F202" s="8" t="s">
        <v>98</v>
      </c>
      <c r="G202" s="8" t="s">
        <v>98</v>
      </c>
      <c r="H202" s="8" t="s">
        <v>97</v>
      </c>
      <c r="I202" s="8" t="s">
        <v>98</v>
      </c>
      <c r="J202" s="8" t="s">
        <v>98</v>
      </c>
      <c r="K202" s="8" t="s">
        <v>98</v>
      </c>
      <c r="L202" s="8" t="s">
        <v>97</v>
      </c>
      <c r="M202" s="8" t="s">
        <v>98</v>
      </c>
      <c r="N202" s="8" t="s">
        <v>98</v>
      </c>
      <c r="O202" s="8" t="s">
        <v>98</v>
      </c>
      <c r="P202" s="8" t="s">
        <v>98</v>
      </c>
      <c r="Q202" s="8" t="s">
        <v>98</v>
      </c>
      <c r="R202" s="8" t="s">
        <v>98</v>
      </c>
      <c r="S202" s="8" t="s">
        <v>98</v>
      </c>
    </row>
    <row r="203" spans="1:19" ht="15.75" x14ac:dyDescent="0.25">
      <c r="A203" s="6">
        <f>Questionnaire!A203</f>
        <v>201</v>
      </c>
      <c r="B203" s="8" t="s">
        <v>98</v>
      </c>
      <c r="C203" s="8" t="s">
        <v>97</v>
      </c>
      <c r="D203" s="8" t="s">
        <v>97</v>
      </c>
      <c r="E203" s="8" t="s">
        <v>98</v>
      </c>
      <c r="F203" s="8" t="s">
        <v>98</v>
      </c>
      <c r="G203" s="8" t="s">
        <v>98</v>
      </c>
      <c r="H203" s="8" t="s">
        <v>98</v>
      </c>
      <c r="I203" s="8" t="s">
        <v>98</v>
      </c>
      <c r="J203" s="8" t="s">
        <v>98</v>
      </c>
      <c r="K203" s="8" t="s">
        <v>98</v>
      </c>
      <c r="L203" s="8" t="s">
        <v>98</v>
      </c>
      <c r="M203" s="8" t="s">
        <v>98</v>
      </c>
      <c r="N203" s="8" t="s">
        <v>98</v>
      </c>
      <c r="O203" s="8" t="s">
        <v>98</v>
      </c>
      <c r="P203" s="8" t="s">
        <v>98</v>
      </c>
      <c r="Q203" s="8" t="s">
        <v>98</v>
      </c>
      <c r="R203" s="8" t="s">
        <v>98</v>
      </c>
      <c r="S203" s="8" t="s">
        <v>98</v>
      </c>
    </row>
    <row r="204" spans="1:19" ht="15.75" x14ac:dyDescent="0.25">
      <c r="A204" s="6">
        <f>Questionnaire!A204</f>
        <v>202</v>
      </c>
      <c r="B204" s="8" t="s">
        <v>98</v>
      </c>
      <c r="C204" s="8" t="s">
        <v>98</v>
      </c>
      <c r="D204" s="8" t="s">
        <v>98</v>
      </c>
      <c r="E204" s="8" t="s">
        <v>98</v>
      </c>
      <c r="F204" s="8" t="s">
        <v>98</v>
      </c>
      <c r="G204" s="8" t="s">
        <v>97</v>
      </c>
      <c r="H204" s="8" t="s">
        <v>97</v>
      </c>
      <c r="I204" s="8"/>
      <c r="J204" s="8" t="s">
        <v>97</v>
      </c>
      <c r="K204" s="8" t="s">
        <v>97</v>
      </c>
      <c r="L204" s="8" t="s">
        <v>98</v>
      </c>
      <c r="M204" s="8" t="s">
        <v>98</v>
      </c>
      <c r="N204" s="8" t="s">
        <v>97</v>
      </c>
      <c r="O204" s="8" t="s">
        <v>98</v>
      </c>
      <c r="P204" s="8" t="s">
        <v>98</v>
      </c>
      <c r="Q204" s="8" t="s">
        <v>98</v>
      </c>
      <c r="R204" s="8" t="s">
        <v>98</v>
      </c>
      <c r="S204" s="8" t="s">
        <v>97</v>
      </c>
    </row>
    <row r="205" spans="1:19" ht="15.75" x14ac:dyDescent="0.25">
      <c r="A205" s="6">
        <f>Questionnaire!A205</f>
        <v>203</v>
      </c>
      <c r="B205" s="8" t="s">
        <v>98</v>
      </c>
      <c r="C205" s="8" t="s">
        <v>97</v>
      </c>
      <c r="D205" s="8" t="s">
        <v>98</v>
      </c>
      <c r="E205" s="8" t="s">
        <v>98</v>
      </c>
      <c r="F205" s="8" t="s">
        <v>98</v>
      </c>
      <c r="G205" s="8" t="s">
        <v>98</v>
      </c>
      <c r="H205" s="8" t="s">
        <v>98</v>
      </c>
      <c r="I205" s="8" t="s">
        <v>97</v>
      </c>
      <c r="J205" s="8" t="s">
        <v>97</v>
      </c>
      <c r="K205" s="8" t="s">
        <v>98</v>
      </c>
      <c r="L205" s="8" t="s">
        <v>97</v>
      </c>
      <c r="M205" s="8" t="s">
        <v>98</v>
      </c>
      <c r="N205" s="8" t="s">
        <v>98</v>
      </c>
      <c r="O205" s="8" t="s">
        <v>98</v>
      </c>
      <c r="P205" s="8" t="s">
        <v>98</v>
      </c>
      <c r="Q205" s="8" t="s">
        <v>98</v>
      </c>
      <c r="R205" s="8" t="s">
        <v>98</v>
      </c>
      <c r="S205" s="8" t="s">
        <v>98</v>
      </c>
    </row>
    <row r="206" spans="1:19" ht="15.75" x14ac:dyDescent="0.25">
      <c r="A206" s="6">
        <f>Questionnaire!A206</f>
        <v>204</v>
      </c>
      <c r="B206" s="8" t="s">
        <v>98</v>
      </c>
      <c r="C206" s="8" t="s">
        <v>97</v>
      </c>
      <c r="D206" s="8" t="s">
        <v>98</v>
      </c>
      <c r="E206" s="8" t="s">
        <v>98</v>
      </c>
      <c r="F206" s="8" t="s">
        <v>98</v>
      </c>
      <c r="G206" s="8" t="s">
        <v>97</v>
      </c>
      <c r="H206" s="8" t="s">
        <v>98</v>
      </c>
      <c r="I206" s="8" t="s">
        <v>98</v>
      </c>
      <c r="J206" s="8" t="s">
        <v>98</v>
      </c>
      <c r="K206" s="8" t="s">
        <v>98</v>
      </c>
      <c r="L206" s="8" t="s">
        <v>98</v>
      </c>
      <c r="M206" s="8" t="s">
        <v>98</v>
      </c>
      <c r="N206" s="8" t="s">
        <v>98</v>
      </c>
      <c r="O206" s="8" t="s">
        <v>98</v>
      </c>
      <c r="P206" s="8" t="s">
        <v>98</v>
      </c>
      <c r="Q206" s="8" t="s">
        <v>98</v>
      </c>
      <c r="R206" s="8" t="s">
        <v>98</v>
      </c>
      <c r="S206" s="8" t="s">
        <v>98</v>
      </c>
    </row>
    <row r="207" spans="1:19" ht="15.75" x14ac:dyDescent="0.25">
      <c r="A207" s="6">
        <f>Questionnaire!A207</f>
        <v>205</v>
      </c>
      <c r="B207" s="8" t="s">
        <v>98</v>
      </c>
      <c r="C207" s="8" t="s">
        <v>97</v>
      </c>
      <c r="D207" s="8" t="s">
        <v>98</v>
      </c>
      <c r="E207" s="8" t="s">
        <v>98</v>
      </c>
      <c r="F207" s="8" t="s">
        <v>98</v>
      </c>
      <c r="G207" s="8" t="s">
        <v>97</v>
      </c>
      <c r="H207" s="8" t="s">
        <v>97</v>
      </c>
      <c r="I207" s="8" t="s">
        <v>98</v>
      </c>
      <c r="J207" s="8" t="s">
        <v>98</v>
      </c>
      <c r="K207" s="8" t="s">
        <v>97</v>
      </c>
      <c r="L207" s="8" t="s">
        <v>98</v>
      </c>
      <c r="M207" s="8" t="s">
        <v>98</v>
      </c>
      <c r="N207" s="8" t="s">
        <v>98</v>
      </c>
      <c r="O207" s="8" t="s">
        <v>98</v>
      </c>
      <c r="P207" s="8" t="s">
        <v>98</v>
      </c>
      <c r="Q207" s="8" t="s">
        <v>98</v>
      </c>
      <c r="R207" s="8" t="s">
        <v>98</v>
      </c>
      <c r="S207" s="8" t="s">
        <v>98</v>
      </c>
    </row>
    <row r="208" spans="1:19" ht="15.75" x14ac:dyDescent="0.25">
      <c r="A208" s="6">
        <f>Questionnaire!A208</f>
        <v>206</v>
      </c>
      <c r="B208" s="57" t="s">
        <v>98</v>
      </c>
      <c r="C208" s="58" t="s">
        <v>97</v>
      </c>
      <c r="D208" s="57" t="s">
        <v>98</v>
      </c>
      <c r="E208" s="57" t="s">
        <v>98</v>
      </c>
      <c r="F208" s="57" t="s">
        <v>98</v>
      </c>
      <c r="G208" s="58" t="s">
        <v>97</v>
      </c>
      <c r="H208" s="57" t="s">
        <v>98</v>
      </c>
      <c r="I208" s="58" t="s">
        <v>97</v>
      </c>
      <c r="J208" s="58" t="s">
        <v>97</v>
      </c>
      <c r="K208" s="57" t="s">
        <v>98</v>
      </c>
      <c r="L208" s="58" t="s">
        <v>97</v>
      </c>
      <c r="M208" s="57" t="s">
        <v>98</v>
      </c>
      <c r="N208" s="57" t="s">
        <v>98</v>
      </c>
      <c r="O208" s="57" t="s">
        <v>98</v>
      </c>
      <c r="P208" s="57" t="s">
        <v>98</v>
      </c>
      <c r="Q208" s="57" t="s">
        <v>98</v>
      </c>
      <c r="R208" s="57" t="s">
        <v>98</v>
      </c>
      <c r="S208" s="57" t="s">
        <v>98</v>
      </c>
    </row>
    <row r="209" spans="1:19" ht="15.75" x14ac:dyDescent="0.25">
      <c r="A209" s="6">
        <f>Questionnaire!A209</f>
        <v>207</v>
      </c>
      <c r="B209" s="8" t="s">
        <v>98</v>
      </c>
      <c r="C209" s="8" t="s">
        <v>97</v>
      </c>
      <c r="D209" s="8" t="s">
        <v>97</v>
      </c>
      <c r="E209" s="8" t="s">
        <v>98</v>
      </c>
      <c r="F209" s="8" t="s">
        <v>98</v>
      </c>
      <c r="G209" s="8" t="s">
        <v>98</v>
      </c>
      <c r="H209" s="8" t="s">
        <v>98</v>
      </c>
      <c r="I209" s="8" t="s">
        <v>98</v>
      </c>
      <c r="J209" s="8" t="s">
        <v>98</v>
      </c>
      <c r="K209" s="8" t="s">
        <v>98</v>
      </c>
      <c r="L209" s="8" t="s">
        <v>98</v>
      </c>
      <c r="M209" s="8" t="s">
        <v>98</v>
      </c>
      <c r="N209" s="8" t="s">
        <v>98</v>
      </c>
      <c r="O209" s="8" t="s">
        <v>98</v>
      </c>
      <c r="P209" s="8" t="s">
        <v>98</v>
      </c>
      <c r="Q209" s="8" t="s">
        <v>98</v>
      </c>
      <c r="R209" s="8" t="s">
        <v>98</v>
      </c>
      <c r="S209" s="8" t="s">
        <v>98</v>
      </c>
    </row>
    <row r="210" spans="1:19" ht="15.75" x14ac:dyDescent="0.25">
      <c r="A210" s="6">
        <f>Questionnaire!A210</f>
        <v>208</v>
      </c>
      <c r="B210" s="8" t="s">
        <v>98</v>
      </c>
      <c r="C210" s="8" t="s">
        <v>97</v>
      </c>
      <c r="D210" s="8" t="s">
        <v>98</v>
      </c>
      <c r="E210" s="8" t="s">
        <v>98</v>
      </c>
      <c r="F210" s="8" t="s">
        <v>98</v>
      </c>
      <c r="G210" s="8" t="s">
        <v>97</v>
      </c>
      <c r="H210" s="8" t="s">
        <v>97</v>
      </c>
      <c r="I210" s="8" t="s">
        <v>98</v>
      </c>
      <c r="J210" s="8" t="s">
        <v>98</v>
      </c>
      <c r="K210" s="8" t="s">
        <v>97</v>
      </c>
      <c r="L210" s="8" t="s">
        <v>97</v>
      </c>
      <c r="M210" s="8" t="s">
        <v>98</v>
      </c>
      <c r="N210" s="8" t="s">
        <v>98</v>
      </c>
      <c r="O210" s="8" t="s">
        <v>98</v>
      </c>
      <c r="P210" s="8" t="s">
        <v>98</v>
      </c>
      <c r="Q210" s="8" t="s">
        <v>98</v>
      </c>
      <c r="R210" s="8" t="s">
        <v>98</v>
      </c>
      <c r="S210" s="8" t="s">
        <v>97</v>
      </c>
    </row>
    <row r="211" spans="1:19" ht="15.75" x14ac:dyDescent="0.25">
      <c r="A211" s="6">
        <f>Questionnaire!A211</f>
        <v>209</v>
      </c>
      <c r="B211" s="8" t="s">
        <v>98</v>
      </c>
      <c r="C211" s="8" t="s">
        <v>97</v>
      </c>
      <c r="D211" s="8" t="s">
        <v>98</v>
      </c>
      <c r="E211" s="8" t="s">
        <v>98</v>
      </c>
      <c r="F211" s="8" t="s">
        <v>98</v>
      </c>
      <c r="G211" s="8" t="s">
        <v>98</v>
      </c>
      <c r="H211" s="8" t="s">
        <v>97</v>
      </c>
      <c r="I211" s="8" t="s">
        <v>98</v>
      </c>
      <c r="J211" s="8" t="s">
        <v>98</v>
      </c>
      <c r="K211" s="8" t="s">
        <v>97</v>
      </c>
      <c r="L211" s="8" t="s">
        <v>97</v>
      </c>
      <c r="M211" s="8" t="s">
        <v>98</v>
      </c>
      <c r="N211" s="8" t="s">
        <v>98</v>
      </c>
      <c r="O211" s="8" t="s">
        <v>98</v>
      </c>
      <c r="P211" s="8" t="s">
        <v>98</v>
      </c>
      <c r="Q211" s="8" t="s">
        <v>98</v>
      </c>
      <c r="R211" s="8" t="s">
        <v>98</v>
      </c>
      <c r="S211" s="8" t="s">
        <v>98</v>
      </c>
    </row>
    <row r="212" spans="1:19" ht="15.75" x14ac:dyDescent="0.25">
      <c r="A212" s="6">
        <f>Questionnaire!A212</f>
        <v>210</v>
      </c>
      <c r="B212" s="8" t="s">
        <v>98</v>
      </c>
      <c r="C212" s="8" t="s">
        <v>97</v>
      </c>
      <c r="D212" s="8" t="s">
        <v>97</v>
      </c>
      <c r="E212" s="8" t="s">
        <v>98</v>
      </c>
      <c r="F212" s="8" t="s">
        <v>98</v>
      </c>
      <c r="G212" s="8" t="s">
        <v>98</v>
      </c>
      <c r="H212" s="8" t="s">
        <v>98</v>
      </c>
      <c r="I212" s="8" t="s">
        <v>98</v>
      </c>
      <c r="J212" s="8" t="s">
        <v>98</v>
      </c>
      <c r="K212" s="8" t="s">
        <v>97</v>
      </c>
      <c r="L212" s="8" t="s">
        <v>98</v>
      </c>
      <c r="M212" s="8" t="s">
        <v>98</v>
      </c>
      <c r="N212" s="8" t="s">
        <v>98</v>
      </c>
      <c r="O212" s="8" t="s">
        <v>98</v>
      </c>
      <c r="P212" s="8" t="s">
        <v>98</v>
      </c>
      <c r="Q212" s="8" t="s">
        <v>98</v>
      </c>
      <c r="R212" s="8" t="s">
        <v>97</v>
      </c>
      <c r="S212" s="8" t="s">
        <v>97</v>
      </c>
    </row>
    <row r="213" spans="1:19" ht="15.75" x14ac:dyDescent="0.25">
      <c r="A213" s="6">
        <f>Questionnaire!A213</f>
        <v>211</v>
      </c>
      <c r="B213" s="8" t="s">
        <v>98</v>
      </c>
      <c r="C213" s="8" t="s">
        <v>97</v>
      </c>
      <c r="D213" s="8" t="s">
        <v>98</v>
      </c>
      <c r="E213" s="8" t="s">
        <v>98</v>
      </c>
      <c r="F213" s="8" t="s">
        <v>98</v>
      </c>
      <c r="G213" s="8" t="s">
        <v>98</v>
      </c>
      <c r="H213" s="8" t="s">
        <v>98</v>
      </c>
      <c r="I213" s="8" t="s">
        <v>97</v>
      </c>
      <c r="J213" s="8" t="s">
        <v>98</v>
      </c>
      <c r="K213" s="8" t="s">
        <v>97</v>
      </c>
      <c r="L213" s="8" t="s">
        <v>97</v>
      </c>
      <c r="M213" s="8" t="s">
        <v>98</v>
      </c>
      <c r="N213" s="8" t="s">
        <v>98</v>
      </c>
      <c r="O213" s="8" t="s">
        <v>98</v>
      </c>
      <c r="P213" s="8" t="s">
        <v>98</v>
      </c>
      <c r="Q213" s="8" t="s">
        <v>98</v>
      </c>
      <c r="R213" s="8" t="s">
        <v>98</v>
      </c>
      <c r="S213" s="8" t="s">
        <v>98</v>
      </c>
    </row>
    <row r="214" spans="1:19" ht="15.75" x14ac:dyDescent="0.25">
      <c r="A214" s="6">
        <f>Questionnaire!A214</f>
        <v>212</v>
      </c>
      <c r="B214" s="8" t="s">
        <v>98</v>
      </c>
      <c r="C214" s="8" t="s">
        <v>97</v>
      </c>
      <c r="D214" s="8" t="s">
        <v>97</v>
      </c>
      <c r="E214" s="8" t="s">
        <v>98</v>
      </c>
      <c r="F214" s="8" t="s">
        <v>98</v>
      </c>
      <c r="G214" s="8" t="s">
        <v>98</v>
      </c>
      <c r="H214" s="8" t="s">
        <v>98</v>
      </c>
      <c r="I214" s="8" t="s">
        <v>98</v>
      </c>
      <c r="J214" s="8" t="s">
        <v>98</v>
      </c>
      <c r="K214" s="8" t="s">
        <v>98</v>
      </c>
      <c r="L214" s="8" t="s">
        <v>98</v>
      </c>
      <c r="M214" s="8" t="s">
        <v>98</v>
      </c>
      <c r="N214" s="8" t="s">
        <v>98</v>
      </c>
      <c r="O214" s="8" t="s">
        <v>98</v>
      </c>
      <c r="P214" s="8" t="s">
        <v>98</v>
      </c>
      <c r="Q214" s="8" t="s">
        <v>98</v>
      </c>
      <c r="R214" s="8" t="s">
        <v>98</v>
      </c>
      <c r="S214" s="8" t="s">
        <v>98</v>
      </c>
    </row>
    <row r="215" spans="1:19" ht="15.75" x14ac:dyDescent="0.25">
      <c r="A215" s="6">
        <f>Questionnaire!A215</f>
        <v>213</v>
      </c>
      <c r="B215" s="57" t="s">
        <v>98</v>
      </c>
      <c r="C215" s="58" t="s">
        <v>97</v>
      </c>
      <c r="D215" s="57" t="s">
        <v>98</v>
      </c>
      <c r="E215" s="57" t="s">
        <v>98</v>
      </c>
      <c r="F215" s="57" t="s">
        <v>98</v>
      </c>
      <c r="G215" s="57" t="s">
        <v>98</v>
      </c>
      <c r="H215" s="57" t="s">
        <v>98</v>
      </c>
      <c r="I215" s="57" t="s">
        <v>98</v>
      </c>
      <c r="J215" s="58" t="s">
        <v>97</v>
      </c>
      <c r="K215" s="57" t="s">
        <v>98</v>
      </c>
      <c r="L215" s="58" t="s">
        <v>97</v>
      </c>
      <c r="M215" s="57" t="s">
        <v>98</v>
      </c>
      <c r="N215" s="57" t="s">
        <v>98</v>
      </c>
      <c r="O215" s="57" t="s">
        <v>98</v>
      </c>
      <c r="P215" s="57" t="s">
        <v>98</v>
      </c>
      <c r="Q215" s="57" t="s">
        <v>98</v>
      </c>
      <c r="R215" s="57" t="s">
        <v>98</v>
      </c>
      <c r="S215" s="57" t="s">
        <v>98</v>
      </c>
    </row>
    <row r="216" spans="1:19" ht="15.75" x14ac:dyDescent="0.25">
      <c r="A216" s="6">
        <f>Questionnaire!A216</f>
        <v>214</v>
      </c>
      <c r="B216" s="8" t="s">
        <v>98</v>
      </c>
      <c r="C216" s="8" t="s">
        <v>97</v>
      </c>
      <c r="D216" s="8" t="s">
        <v>98</v>
      </c>
      <c r="E216" s="8" t="s">
        <v>98</v>
      </c>
      <c r="F216" s="8" t="s">
        <v>98</v>
      </c>
      <c r="G216" s="8" t="s">
        <v>98</v>
      </c>
      <c r="H216" s="8" t="s">
        <v>98</v>
      </c>
      <c r="I216" s="8" t="s">
        <v>98</v>
      </c>
      <c r="J216" s="8" t="s">
        <v>98</v>
      </c>
      <c r="K216" s="8" t="s">
        <v>98</v>
      </c>
      <c r="L216" s="8" t="s">
        <v>98</v>
      </c>
      <c r="M216" s="8" t="s">
        <v>98</v>
      </c>
      <c r="N216" s="8" t="s">
        <v>98</v>
      </c>
      <c r="O216" s="8" t="s">
        <v>98</v>
      </c>
      <c r="P216" s="8" t="s">
        <v>98</v>
      </c>
      <c r="Q216" s="8" t="s">
        <v>98</v>
      </c>
      <c r="R216" s="8" t="s">
        <v>98</v>
      </c>
      <c r="S216" s="8" t="s">
        <v>98</v>
      </c>
    </row>
    <row r="217" spans="1:19" ht="15.75" x14ac:dyDescent="0.25">
      <c r="A217" s="6">
        <f>Questionnaire!A217</f>
        <v>215</v>
      </c>
      <c r="B217" s="8" t="s">
        <v>98</v>
      </c>
      <c r="C217" s="8" t="s">
        <v>97</v>
      </c>
      <c r="D217" s="8" t="s">
        <v>98</v>
      </c>
      <c r="E217" s="8" t="s">
        <v>98</v>
      </c>
      <c r="F217" s="8" t="s">
        <v>98</v>
      </c>
      <c r="G217" s="8" t="s">
        <v>98</v>
      </c>
      <c r="H217" s="8" t="s">
        <v>98</v>
      </c>
      <c r="I217" s="8" t="s">
        <v>98</v>
      </c>
      <c r="J217" s="8" t="s">
        <v>97</v>
      </c>
      <c r="K217" s="8" t="s">
        <v>98</v>
      </c>
      <c r="L217" s="8" t="s">
        <v>97</v>
      </c>
      <c r="M217" s="8" t="s">
        <v>98</v>
      </c>
      <c r="N217" s="8" t="s">
        <v>98</v>
      </c>
      <c r="O217" s="8" t="s">
        <v>98</v>
      </c>
      <c r="P217" s="8" t="s">
        <v>98</v>
      </c>
      <c r="Q217" s="8" t="s">
        <v>98</v>
      </c>
      <c r="R217" s="8" t="s">
        <v>98</v>
      </c>
      <c r="S217" s="8" t="s">
        <v>98</v>
      </c>
    </row>
    <row r="218" spans="1:19" ht="15.75" x14ac:dyDescent="0.25">
      <c r="A218" s="6">
        <f>Questionnaire!A218</f>
        <v>216</v>
      </c>
      <c r="B218" s="8" t="s">
        <v>98</v>
      </c>
      <c r="C218" s="8" t="s">
        <v>97</v>
      </c>
      <c r="D218" s="8" t="s">
        <v>98</v>
      </c>
      <c r="E218" s="8" t="s">
        <v>98</v>
      </c>
      <c r="F218" s="8" t="s">
        <v>98</v>
      </c>
      <c r="G218" s="8" t="s">
        <v>98</v>
      </c>
      <c r="H218" s="8" t="s">
        <v>97</v>
      </c>
      <c r="I218" s="8" t="s">
        <v>98</v>
      </c>
      <c r="J218" s="8" t="s">
        <v>98</v>
      </c>
      <c r="K218" s="8" t="s">
        <v>98</v>
      </c>
      <c r="L218" s="8" t="s">
        <v>98</v>
      </c>
      <c r="M218" s="8" t="s">
        <v>98</v>
      </c>
      <c r="N218" s="8" t="s">
        <v>98</v>
      </c>
      <c r="O218" s="8" t="s">
        <v>98</v>
      </c>
      <c r="P218" s="8" t="s">
        <v>98</v>
      </c>
      <c r="Q218" s="8" t="s">
        <v>98</v>
      </c>
      <c r="R218" s="8" t="s">
        <v>98</v>
      </c>
      <c r="S218" s="8" t="s">
        <v>97</v>
      </c>
    </row>
    <row r="219" spans="1:19" ht="15.75" x14ac:dyDescent="0.25">
      <c r="A219" s="6">
        <f>Questionnaire!A219</f>
        <v>217</v>
      </c>
      <c r="B219" s="8" t="s">
        <v>98</v>
      </c>
      <c r="C219" s="8" t="s">
        <v>97</v>
      </c>
      <c r="D219" s="8" t="s">
        <v>98</v>
      </c>
      <c r="E219" s="8" t="s">
        <v>98</v>
      </c>
      <c r="F219" s="8" t="s">
        <v>98</v>
      </c>
      <c r="G219" s="8" t="s">
        <v>98</v>
      </c>
      <c r="H219" s="8" t="s">
        <v>97</v>
      </c>
      <c r="I219" s="8" t="s">
        <v>98</v>
      </c>
      <c r="J219" s="8" t="s">
        <v>97</v>
      </c>
      <c r="K219" s="8" t="s">
        <v>98</v>
      </c>
      <c r="L219" s="8" t="s">
        <v>97</v>
      </c>
      <c r="M219" s="8" t="s">
        <v>98</v>
      </c>
      <c r="N219" s="8" t="s">
        <v>98</v>
      </c>
      <c r="O219" s="8" t="s">
        <v>98</v>
      </c>
      <c r="P219" s="8" t="s">
        <v>98</v>
      </c>
      <c r="Q219" s="8" t="s">
        <v>98</v>
      </c>
      <c r="R219" s="8" t="s">
        <v>98</v>
      </c>
      <c r="S219" s="8" t="s">
        <v>97</v>
      </c>
    </row>
    <row r="220" spans="1:19" ht="15.75" x14ac:dyDescent="0.25">
      <c r="A220" s="6">
        <f>Questionnaire!A220</f>
        <v>218</v>
      </c>
      <c r="B220" s="8" t="s">
        <v>98</v>
      </c>
      <c r="C220" s="8" t="s">
        <v>97</v>
      </c>
      <c r="D220" s="8" t="s">
        <v>97</v>
      </c>
      <c r="E220" s="8" t="s">
        <v>98</v>
      </c>
      <c r="F220" s="8" t="s">
        <v>98</v>
      </c>
      <c r="G220" s="8" t="s">
        <v>98</v>
      </c>
      <c r="H220" s="8" t="s">
        <v>97</v>
      </c>
      <c r="I220" s="8" t="s">
        <v>98</v>
      </c>
      <c r="J220" s="8" t="s">
        <v>98</v>
      </c>
      <c r="K220" s="8" t="s">
        <v>98</v>
      </c>
      <c r="L220" s="8" t="s">
        <v>98</v>
      </c>
      <c r="M220" s="8" t="s">
        <v>98</v>
      </c>
      <c r="N220" s="8" t="s">
        <v>98</v>
      </c>
      <c r="O220" s="8" t="s">
        <v>98</v>
      </c>
      <c r="P220" s="8" t="s">
        <v>98</v>
      </c>
      <c r="Q220" s="8" t="s">
        <v>98</v>
      </c>
      <c r="R220" s="8" t="s">
        <v>98</v>
      </c>
      <c r="S220" s="8" t="s">
        <v>98</v>
      </c>
    </row>
    <row r="221" spans="1:19" ht="15.75" x14ac:dyDescent="0.25">
      <c r="A221" s="6">
        <f>Questionnaire!A221</f>
        <v>219</v>
      </c>
      <c r="B221" s="8" t="s">
        <v>98</v>
      </c>
      <c r="C221" s="8" t="s">
        <v>97</v>
      </c>
      <c r="D221" s="8" t="s">
        <v>98</v>
      </c>
      <c r="E221" s="8" t="s">
        <v>98</v>
      </c>
      <c r="F221" s="8" t="s">
        <v>98</v>
      </c>
      <c r="G221" s="8" t="s">
        <v>98</v>
      </c>
      <c r="H221" s="8" t="s">
        <v>98</v>
      </c>
      <c r="I221" s="8" t="s">
        <v>98</v>
      </c>
      <c r="J221" s="8" t="s">
        <v>98</v>
      </c>
      <c r="K221" s="8" t="s">
        <v>97</v>
      </c>
      <c r="L221" s="8" t="s">
        <v>98</v>
      </c>
      <c r="M221" s="8" t="s">
        <v>98</v>
      </c>
      <c r="N221" s="8" t="s">
        <v>98</v>
      </c>
      <c r="O221" s="8" t="s">
        <v>98</v>
      </c>
      <c r="P221" s="8" t="s">
        <v>98</v>
      </c>
      <c r="Q221" s="8" t="s">
        <v>98</v>
      </c>
      <c r="R221" s="8" t="s">
        <v>98</v>
      </c>
      <c r="S221" s="8" t="s">
        <v>98</v>
      </c>
    </row>
    <row r="222" spans="1:19" ht="15.75" x14ac:dyDescent="0.25">
      <c r="A222" s="6">
        <f>Questionnaire!A222</f>
        <v>220</v>
      </c>
      <c r="B222" s="8" t="s">
        <v>98</v>
      </c>
      <c r="C222" s="8" t="s">
        <v>98</v>
      </c>
      <c r="D222" s="8" t="s">
        <v>98</v>
      </c>
      <c r="E222" s="8" t="s">
        <v>98</v>
      </c>
      <c r="F222" s="8" t="s">
        <v>98</v>
      </c>
      <c r="G222" s="8" t="s">
        <v>97</v>
      </c>
      <c r="H222" s="8" t="s">
        <v>98</v>
      </c>
      <c r="I222" s="8" t="s">
        <v>98</v>
      </c>
      <c r="J222" s="8" t="s">
        <v>98</v>
      </c>
      <c r="K222" s="8" t="s">
        <v>98</v>
      </c>
      <c r="L222" s="8" t="s">
        <v>98</v>
      </c>
      <c r="M222" s="8" t="s">
        <v>98</v>
      </c>
      <c r="N222" s="8" t="s">
        <v>98</v>
      </c>
      <c r="O222" s="8" t="s">
        <v>98</v>
      </c>
      <c r="P222" s="8" t="s">
        <v>98</v>
      </c>
      <c r="Q222" s="8" t="s">
        <v>98</v>
      </c>
      <c r="R222" s="8" t="s">
        <v>98</v>
      </c>
      <c r="S222" s="8" t="s">
        <v>98</v>
      </c>
    </row>
    <row r="223" spans="1:19" ht="15.75" x14ac:dyDescent="0.25">
      <c r="A223" s="6">
        <f>Questionnaire!A223</f>
        <v>221</v>
      </c>
      <c r="B223" s="8" t="s">
        <v>98</v>
      </c>
      <c r="C223" s="8" t="s">
        <v>98</v>
      </c>
      <c r="D223" s="8" t="s">
        <v>98</v>
      </c>
      <c r="E223" s="8" t="s">
        <v>98</v>
      </c>
      <c r="F223" s="8" t="s">
        <v>98</v>
      </c>
      <c r="G223" s="8" t="s">
        <v>97</v>
      </c>
      <c r="H223" s="8" t="s">
        <v>97</v>
      </c>
      <c r="I223" s="8" t="s">
        <v>98</v>
      </c>
      <c r="J223" s="8" t="s">
        <v>97</v>
      </c>
      <c r="K223" s="8" t="s">
        <v>97</v>
      </c>
      <c r="L223" s="8" t="s">
        <v>97</v>
      </c>
      <c r="M223" s="8" t="s">
        <v>98</v>
      </c>
      <c r="N223" s="8" t="s">
        <v>98</v>
      </c>
      <c r="O223" s="8" t="s">
        <v>98</v>
      </c>
      <c r="P223" s="8" t="s">
        <v>98</v>
      </c>
      <c r="Q223" s="8" t="s">
        <v>98</v>
      </c>
      <c r="R223" s="8" t="s">
        <v>98</v>
      </c>
      <c r="S223" s="8" t="s">
        <v>98</v>
      </c>
    </row>
    <row r="224" spans="1:19" ht="15.75" x14ac:dyDescent="0.25">
      <c r="A224" s="6">
        <f>Questionnaire!A224</f>
        <v>222</v>
      </c>
      <c r="B224" s="57" t="s">
        <v>98</v>
      </c>
      <c r="C224" s="57" t="s">
        <v>411</v>
      </c>
      <c r="D224" s="57" t="s">
        <v>98</v>
      </c>
      <c r="E224" s="57" t="s">
        <v>98</v>
      </c>
      <c r="F224" s="57" t="s">
        <v>98</v>
      </c>
      <c r="G224" s="57" t="s">
        <v>98</v>
      </c>
      <c r="H224" s="57" t="s">
        <v>98</v>
      </c>
      <c r="I224" s="57" t="s">
        <v>98</v>
      </c>
      <c r="J224" s="57" t="s">
        <v>97</v>
      </c>
      <c r="K224" s="57" t="s">
        <v>98</v>
      </c>
      <c r="L224" s="57" t="s">
        <v>97</v>
      </c>
      <c r="M224" s="57" t="s">
        <v>98</v>
      </c>
      <c r="N224" s="57" t="s">
        <v>97</v>
      </c>
      <c r="O224" s="57" t="s">
        <v>98</v>
      </c>
      <c r="P224" s="57" t="s">
        <v>98</v>
      </c>
      <c r="Q224" s="57" t="s">
        <v>98</v>
      </c>
      <c r="R224" s="57" t="s">
        <v>98</v>
      </c>
      <c r="S224" s="57" t="s">
        <v>98</v>
      </c>
    </row>
    <row r="225" spans="1:19" ht="15.75" x14ac:dyDescent="0.25">
      <c r="A225" s="6">
        <f>Questionnaire!A225</f>
        <v>223</v>
      </c>
      <c r="B225" s="8" t="s">
        <v>98</v>
      </c>
      <c r="C225" s="8" t="s">
        <v>97</v>
      </c>
      <c r="D225" s="8" t="s">
        <v>97</v>
      </c>
      <c r="E225" s="8" t="s">
        <v>98</v>
      </c>
      <c r="F225" s="8" t="s">
        <v>98</v>
      </c>
      <c r="G225" s="8" t="s">
        <v>98</v>
      </c>
      <c r="H225" s="8" t="s">
        <v>98</v>
      </c>
      <c r="I225" s="8" t="s">
        <v>98</v>
      </c>
      <c r="J225" s="8" t="s">
        <v>98</v>
      </c>
      <c r="K225" s="8" t="s">
        <v>98</v>
      </c>
      <c r="L225" s="8" t="s">
        <v>98</v>
      </c>
      <c r="M225" s="8" t="s">
        <v>98</v>
      </c>
      <c r="N225" s="8" t="s">
        <v>98</v>
      </c>
      <c r="O225" s="8" t="s">
        <v>98</v>
      </c>
      <c r="P225" s="8" t="s">
        <v>98</v>
      </c>
      <c r="Q225" s="8" t="s">
        <v>98</v>
      </c>
      <c r="R225" s="8" t="s">
        <v>98</v>
      </c>
      <c r="S225" s="8" t="s">
        <v>98</v>
      </c>
    </row>
    <row r="226" spans="1:19" ht="15.75" x14ac:dyDescent="0.25">
      <c r="A226" s="6">
        <f>Questionnaire!A226</f>
        <v>224</v>
      </c>
      <c r="B226" s="8" t="s">
        <v>98</v>
      </c>
      <c r="C226" s="8" t="s">
        <v>97</v>
      </c>
      <c r="D226" s="8" t="s">
        <v>98</v>
      </c>
      <c r="E226" s="8" t="s">
        <v>97</v>
      </c>
      <c r="F226" s="8" t="s">
        <v>98</v>
      </c>
      <c r="G226" s="8" t="s">
        <v>98</v>
      </c>
      <c r="H226" s="8" t="s">
        <v>98</v>
      </c>
      <c r="I226" s="8" t="s">
        <v>97</v>
      </c>
      <c r="J226" s="8" t="s">
        <v>98</v>
      </c>
      <c r="K226" s="8" t="s">
        <v>97</v>
      </c>
      <c r="L226" s="8" t="s">
        <v>97</v>
      </c>
      <c r="M226" s="8" t="s">
        <v>98</v>
      </c>
      <c r="N226" s="8" t="s">
        <v>98</v>
      </c>
      <c r="O226" s="8" t="s">
        <v>98</v>
      </c>
      <c r="P226" s="8" t="s">
        <v>98</v>
      </c>
      <c r="Q226" s="8" t="s">
        <v>98</v>
      </c>
      <c r="R226" s="8" t="s">
        <v>98</v>
      </c>
      <c r="S226" s="8" t="s">
        <v>98</v>
      </c>
    </row>
    <row r="227" spans="1:19" ht="15.75" x14ac:dyDescent="0.25">
      <c r="A227" s="6">
        <f>Questionnaire!A227</f>
        <v>225</v>
      </c>
      <c r="B227" s="8" t="s">
        <v>98</v>
      </c>
      <c r="C227" s="8" t="s">
        <v>97</v>
      </c>
      <c r="D227" s="8" t="s">
        <v>97</v>
      </c>
      <c r="E227" s="8" t="s">
        <v>97</v>
      </c>
      <c r="F227" s="8" t="s">
        <v>98</v>
      </c>
      <c r="G227" s="8" t="s">
        <v>98</v>
      </c>
      <c r="H227" s="8" t="s">
        <v>97</v>
      </c>
      <c r="I227" s="8" t="s">
        <v>97</v>
      </c>
      <c r="J227" s="8" t="s">
        <v>98</v>
      </c>
      <c r="K227" s="8" t="s">
        <v>98</v>
      </c>
      <c r="L227" s="8" t="s">
        <v>97</v>
      </c>
      <c r="M227" s="8" t="s">
        <v>98</v>
      </c>
      <c r="N227" s="8" t="s">
        <v>98</v>
      </c>
      <c r="O227" s="8" t="s">
        <v>98</v>
      </c>
      <c r="P227" s="8" t="s">
        <v>98</v>
      </c>
      <c r="Q227" s="8" t="s">
        <v>98</v>
      </c>
      <c r="R227" s="8" t="s">
        <v>98</v>
      </c>
      <c r="S227" s="8" t="s">
        <v>98</v>
      </c>
    </row>
    <row r="228" spans="1:19" ht="15.75" x14ac:dyDescent="0.25">
      <c r="A228" s="6">
        <f>Questionnaire!A228</f>
        <v>226</v>
      </c>
      <c r="B228" s="8" t="s">
        <v>98</v>
      </c>
      <c r="C228" s="8" t="s">
        <v>97</v>
      </c>
      <c r="D228" s="8" t="s">
        <v>97</v>
      </c>
      <c r="E228" s="8" t="s">
        <v>98</v>
      </c>
      <c r="F228" s="8" t="s">
        <v>98</v>
      </c>
      <c r="G228" s="8" t="s">
        <v>98</v>
      </c>
      <c r="H228" s="8" t="s">
        <v>98</v>
      </c>
      <c r="I228" s="8" t="s">
        <v>98</v>
      </c>
      <c r="J228" s="8" t="s">
        <v>97</v>
      </c>
      <c r="K228" s="8" t="s">
        <v>98</v>
      </c>
      <c r="L228" s="8" t="s">
        <v>97</v>
      </c>
      <c r="M228" s="8" t="s">
        <v>98</v>
      </c>
      <c r="N228" s="8" t="s">
        <v>98</v>
      </c>
      <c r="O228" s="8" t="s">
        <v>98</v>
      </c>
      <c r="P228" s="8" t="s">
        <v>98</v>
      </c>
      <c r="Q228" s="8" t="s">
        <v>98</v>
      </c>
      <c r="R228" s="8" t="s">
        <v>98</v>
      </c>
      <c r="S228" s="8" t="s">
        <v>98</v>
      </c>
    </row>
    <row r="229" spans="1:19" ht="15.75" x14ac:dyDescent="0.25">
      <c r="A229" s="6">
        <f>Questionnaire!A229</f>
        <v>227</v>
      </c>
      <c r="B229" s="8" t="s">
        <v>98</v>
      </c>
      <c r="C229" s="8" t="s">
        <v>97</v>
      </c>
      <c r="D229" s="8" t="s">
        <v>97</v>
      </c>
      <c r="E229" s="8" t="s">
        <v>98</v>
      </c>
      <c r="F229" s="8" t="s">
        <v>98</v>
      </c>
      <c r="G229" s="8" t="s">
        <v>98</v>
      </c>
      <c r="H229" s="8" t="s">
        <v>98</v>
      </c>
      <c r="I229" s="8" t="s">
        <v>98</v>
      </c>
      <c r="J229" s="8" t="s">
        <v>98</v>
      </c>
      <c r="K229" s="8" t="s">
        <v>98</v>
      </c>
      <c r="L229" s="8" t="s">
        <v>98</v>
      </c>
      <c r="M229" s="8" t="s">
        <v>98</v>
      </c>
      <c r="N229" s="8" t="s">
        <v>98</v>
      </c>
      <c r="O229" s="8" t="s">
        <v>98</v>
      </c>
      <c r="P229" s="8" t="s">
        <v>98</v>
      </c>
      <c r="Q229" s="8" t="s">
        <v>98</v>
      </c>
      <c r="R229" s="8" t="s">
        <v>98</v>
      </c>
      <c r="S229" s="8" t="s">
        <v>98</v>
      </c>
    </row>
    <row r="230" spans="1:19" ht="15.75" x14ac:dyDescent="0.25">
      <c r="A230" s="6">
        <f>Questionnaire!A230</f>
        <v>228</v>
      </c>
      <c r="B230" s="8" t="s">
        <v>98</v>
      </c>
      <c r="C230" s="8" t="s">
        <v>97</v>
      </c>
      <c r="D230" s="8" t="s">
        <v>98</v>
      </c>
      <c r="E230" s="8" t="s">
        <v>98</v>
      </c>
      <c r="F230" s="8" t="s">
        <v>98</v>
      </c>
      <c r="G230" s="8" t="s">
        <v>98</v>
      </c>
      <c r="H230" s="8" t="s">
        <v>97</v>
      </c>
      <c r="I230" s="8" t="s">
        <v>98</v>
      </c>
      <c r="J230" s="8" t="s">
        <v>97</v>
      </c>
      <c r="K230" s="8" t="s">
        <v>98</v>
      </c>
      <c r="L230" s="8" t="s">
        <v>97</v>
      </c>
      <c r="M230" s="8" t="s">
        <v>98</v>
      </c>
      <c r="N230" s="8" t="s">
        <v>98</v>
      </c>
      <c r="O230" s="8" t="s">
        <v>98</v>
      </c>
      <c r="P230" s="8" t="s">
        <v>98</v>
      </c>
      <c r="Q230" s="8" t="s">
        <v>98</v>
      </c>
      <c r="R230" s="8" t="s">
        <v>98</v>
      </c>
      <c r="S230" s="8" t="s">
        <v>98</v>
      </c>
    </row>
    <row r="231" spans="1:19" ht="15.75" x14ac:dyDescent="0.25">
      <c r="A231" s="6">
        <f>Questionnaire!A231</f>
        <v>229</v>
      </c>
      <c r="B231" s="8" t="s">
        <v>98</v>
      </c>
      <c r="C231" s="8" t="s">
        <v>97</v>
      </c>
      <c r="D231" s="8" t="s">
        <v>98</v>
      </c>
      <c r="E231" s="8" t="s">
        <v>98</v>
      </c>
      <c r="F231" s="8" t="s">
        <v>98</v>
      </c>
      <c r="G231" s="8" t="s">
        <v>98</v>
      </c>
      <c r="H231" s="8" t="s">
        <v>98</v>
      </c>
      <c r="I231" s="8" t="s">
        <v>97</v>
      </c>
      <c r="J231" s="8" t="s">
        <v>97</v>
      </c>
      <c r="K231" s="8" t="s">
        <v>97</v>
      </c>
      <c r="L231" s="8" t="s">
        <v>98</v>
      </c>
      <c r="M231" s="8" t="s">
        <v>97</v>
      </c>
      <c r="N231" s="8" t="s">
        <v>98</v>
      </c>
      <c r="O231" s="8" t="s">
        <v>98</v>
      </c>
      <c r="P231" s="8" t="s">
        <v>98</v>
      </c>
      <c r="Q231" s="8" t="s">
        <v>98</v>
      </c>
      <c r="R231" s="8" t="s">
        <v>98</v>
      </c>
      <c r="S231" s="8" t="s">
        <v>98</v>
      </c>
    </row>
    <row r="232" spans="1:19" ht="15.75" x14ac:dyDescent="0.25">
      <c r="A232" s="6">
        <f>Questionnaire!A232</f>
        <v>230</v>
      </c>
      <c r="B232" s="8" t="s">
        <v>98</v>
      </c>
      <c r="C232" s="8" t="s">
        <v>97</v>
      </c>
      <c r="D232" s="8" t="s">
        <v>97</v>
      </c>
      <c r="E232" s="8" t="s">
        <v>98</v>
      </c>
      <c r="F232" s="8" t="s">
        <v>98</v>
      </c>
      <c r="G232" s="8" t="s">
        <v>98</v>
      </c>
      <c r="H232" s="8" t="s">
        <v>98</v>
      </c>
      <c r="I232" s="8" t="s">
        <v>98</v>
      </c>
      <c r="J232" s="8" t="s">
        <v>98</v>
      </c>
      <c r="K232" s="8" t="s">
        <v>98</v>
      </c>
      <c r="L232" s="8" t="s">
        <v>98</v>
      </c>
      <c r="M232" s="8" t="s">
        <v>98</v>
      </c>
      <c r="N232" s="8" t="s">
        <v>98</v>
      </c>
      <c r="O232" s="8" t="s">
        <v>98</v>
      </c>
      <c r="P232" s="8" t="s">
        <v>98</v>
      </c>
      <c r="Q232" s="8" t="s">
        <v>98</v>
      </c>
      <c r="R232" s="8" t="s">
        <v>98</v>
      </c>
      <c r="S232" s="8" t="s">
        <v>98</v>
      </c>
    </row>
    <row r="233" spans="1:19" ht="15.75" x14ac:dyDescent="0.25">
      <c r="A233" s="6">
        <f>Questionnaire!A233</f>
        <v>231</v>
      </c>
      <c r="B233" s="57" t="s">
        <v>98</v>
      </c>
      <c r="C233" s="57" t="s">
        <v>97</v>
      </c>
      <c r="D233" s="57" t="s">
        <v>98</v>
      </c>
      <c r="E233" s="57" t="s">
        <v>98</v>
      </c>
      <c r="F233" s="57" t="s">
        <v>98</v>
      </c>
      <c r="G233" s="57" t="s">
        <v>98</v>
      </c>
      <c r="H233" s="57" t="s">
        <v>98</v>
      </c>
      <c r="I233" s="57" t="s">
        <v>98</v>
      </c>
      <c r="J233" s="57" t="s">
        <v>98</v>
      </c>
      <c r="K233" s="57" t="s">
        <v>98</v>
      </c>
      <c r="L233" s="57" t="s">
        <v>98</v>
      </c>
      <c r="M233" s="57" t="s">
        <v>98</v>
      </c>
      <c r="N233" s="57" t="s">
        <v>98</v>
      </c>
      <c r="O233" s="57" t="s">
        <v>98</v>
      </c>
      <c r="P233" s="57" t="s">
        <v>98</v>
      </c>
      <c r="Q233" s="57" t="s">
        <v>98</v>
      </c>
      <c r="R233" s="57" t="s">
        <v>98</v>
      </c>
      <c r="S233" s="57" t="s">
        <v>98</v>
      </c>
    </row>
    <row r="234" spans="1:19" ht="15.75" x14ac:dyDescent="0.25">
      <c r="A234" s="6">
        <f>Questionnaire!A234</f>
        <v>232</v>
      </c>
      <c r="B234" s="8" t="s">
        <v>98</v>
      </c>
      <c r="C234" s="8" t="s">
        <v>97</v>
      </c>
      <c r="D234" s="8" t="s">
        <v>98</v>
      </c>
      <c r="E234" s="8" t="s">
        <v>98</v>
      </c>
      <c r="F234" s="8" t="s">
        <v>98</v>
      </c>
      <c r="G234" s="8" t="s">
        <v>98</v>
      </c>
      <c r="H234" s="8" t="s">
        <v>97</v>
      </c>
      <c r="I234" s="8" t="s">
        <v>98</v>
      </c>
      <c r="J234" s="8" t="s">
        <v>98</v>
      </c>
      <c r="K234" s="8" t="s">
        <v>98</v>
      </c>
      <c r="L234" s="8" t="s">
        <v>97</v>
      </c>
      <c r="M234" s="8" t="s">
        <v>98</v>
      </c>
      <c r="N234" s="8" t="s">
        <v>98</v>
      </c>
      <c r="O234" s="8" t="s">
        <v>98</v>
      </c>
      <c r="P234" s="8" t="s">
        <v>98</v>
      </c>
      <c r="Q234" s="8" t="s">
        <v>98</v>
      </c>
      <c r="R234" s="8" t="s">
        <v>98</v>
      </c>
      <c r="S234" s="8" t="s">
        <v>98</v>
      </c>
    </row>
    <row r="235" spans="1:19" ht="15.75" x14ac:dyDescent="0.25">
      <c r="A235" s="6">
        <f>Questionnaire!A235</f>
        <v>233</v>
      </c>
      <c r="B235" s="8" t="s">
        <v>98</v>
      </c>
      <c r="C235" s="8" t="s">
        <v>97</v>
      </c>
      <c r="D235" s="8" t="s">
        <v>97</v>
      </c>
      <c r="E235" s="8" t="s">
        <v>98</v>
      </c>
      <c r="F235" s="8" t="s">
        <v>98</v>
      </c>
      <c r="G235" s="8" t="s">
        <v>98</v>
      </c>
      <c r="H235" s="8" t="s">
        <v>97</v>
      </c>
      <c r="I235" s="8" t="s">
        <v>98</v>
      </c>
      <c r="J235" s="8" t="s">
        <v>98</v>
      </c>
      <c r="K235" s="8" t="s">
        <v>98</v>
      </c>
      <c r="L235" s="8" t="s">
        <v>98</v>
      </c>
      <c r="M235" s="8" t="s">
        <v>98</v>
      </c>
      <c r="N235" s="8" t="s">
        <v>98</v>
      </c>
      <c r="O235" s="8" t="s">
        <v>98</v>
      </c>
      <c r="P235" s="8" t="s">
        <v>98</v>
      </c>
      <c r="Q235" s="8" t="s">
        <v>98</v>
      </c>
      <c r="R235" s="8" t="s">
        <v>98</v>
      </c>
      <c r="S235" s="8" t="s">
        <v>98</v>
      </c>
    </row>
    <row r="236" spans="1:19" ht="15.75" x14ac:dyDescent="0.25">
      <c r="A236" s="6">
        <f>Questionnaire!A236</f>
        <v>234</v>
      </c>
      <c r="B236" s="8" t="s">
        <v>98</v>
      </c>
      <c r="C236" s="8" t="s">
        <v>97</v>
      </c>
      <c r="D236" s="8" t="s">
        <v>97</v>
      </c>
      <c r="E236" s="8" t="s">
        <v>98</v>
      </c>
      <c r="F236" s="8" t="s">
        <v>98</v>
      </c>
      <c r="G236" s="8" t="s">
        <v>98</v>
      </c>
      <c r="H236" s="8" t="s">
        <v>98</v>
      </c>
      <c r="I236" s="8" t="s">
        <v>98</v>
      </c>
      <c r="J236" s="8" t="s">
        <v>98</v>
      </c>
      <c r="K236" s="8" t="s">
        <v>98</v>
      </c>
      <c r="L236" s="8" t="s">
        <v>98</v>
      </c>
      <c r="M236" s="8" t="s">
        <v>98</v>
      </c>
      <c r="N236" s="8" t="s">
        <v>98</v>
      </c>
      <c r="O236" s="8" t="s">
        <v>98</v>
      </c>
      <c r="P236" s="8" t="s">
        <v>98</v>
      </c>
      <c r="Q236" s="8" t="s">
        <v>98</v>
      </c>
      <c r="R236" s="8" t="s">
        <v>98</v>
      </c>
      <c r="S236" s="8" t="s">
        <v>98</v>
      </c>
    </row>
    <row r="237" spans="1:19" ht="15.75" x14ac:dyDescent="0.25">
      <c r="A237" s="6">
        <f>Questionnaire!A237</f>
        <v>235</v>
      </c>
      <c r="B237" s="8" t="s">
        <v>98</v>
      </c>
      <c r="C237" s="8" t="s">
        <v>97</v>
      </c>
      <c r="D237" s="8" t="s">
        <v>97</v>
      </c>
      <c r="E237" s="8" t="s">
        <v>98</v>
      </c>
      <c r="F237" s="8" t="s">
        <v>98</v>
      </c>
      <c r="G237" s="8" t="s">
        <v>98</v>
      </c>
      <c r="H237" s="8" t="s">
        <v>98</v>
      </c>
      <c r="I237" s="8" t="s">
        <v>98</v>
      </c>
      <c r="J237" s="8" t="s">
        <v>98</v>
      </c>
      <c r="K237" s="8" t="s">
        <v>98</v>
      </c>
      <c r="L237" s="8" t="s">
        <v>98</v>
      </c>
      <c r="M237" s="8" t="s">
        <v>98</v>
      </c>
      <c r="N237" s="8" t="s">
        <v>98</v>
      </c>
      <c r="O237" s="8" t="s">
        <v>98</v>
      </c>
      <c r="P237" s="8" t="s">
        <v>98</v>
      </c>
      <c r="Q237" s="8" t="s">
        <v>98</v>
      </c>
      <c r="R237" s="8" t="s">
        <v>98</v>
      </c>
      <c r="S237" s="8" t="s">
        <v>98</v>
      </c>
    </row>
    <row r="238" spans="1:19" ht="15.75" x14ac:dyDescent="0.25">
      <c r="A238" s="6">
        <f>Questionnaire!A238</f>
        <v>236</v>
      </c>
      <c r="B238" s="8" t="s">
        <v>98</v>
      </c>
      <c r="C238" s="8" t="s">
        <v>97</v>
      </c>
      <c r="D238" s="8" t="s">
        <v>98</v>
      </c>
      <c r="E238" s="8" t="s">
        <v>98</v>
      </c>
      <c r="F238" s="8" t="s">
        <v>98</v>
      </c>
      <c r="G238" s="8" t="s">
        <v>98</v>
      </c>
      <c r="H238" s="8" t="s">
        <v>97</v>
      </c>
      <c r="I238" s="8" t="s">
        <v>98</v>
      </c>
      <c r="J238" s="8" t="s">
        <v>98</v>
      </c>
      <c r="K238" s="8" t="s">
        <v>98</v>
      </c>
      <c r="L238" s="8" t="s">
        <v>98</v>
      </c>
      <c r="M238" s="8" t="s">
        <v>98</v>
      </c>
      <c r="N238" s="8" t="s">
        <v>98</v>
      </c>
      <c r="O238" s="8" t="s">
        <v>98</v>
      </c>
      <c r="P238" s="8" t="s">
        <v>98</v>
      </c>
      <c r="Q238" s="8" t="s">
        <v>98</v>
      </c>
      <c r="R238" s="8" t="s">
        <v>98</v>
      </c>
      <c r="S238" s="8" t="s">
        <v>98</v>
      </c>
    </row>
    <row r="239" spans="1:19" ht="15.75" x14ac:dyDescent="0.25">
      <c r="A239" s="6">
        <f>Questionnaire!A239</f>
        <v>237</v>
      </c>
      <c r="B239" s="8" t="s">
        <v>98</v>
      </c>
      <c r="C239" s="8" t="s">
        <v>97</v>
      </c>
      <c r="D239" s="8" t="s">
        <v>98</v>
      </c>
      <c r="E239" s="8" t="s">
        <v>98</v>
      </c>
      <c r="F239" s="8" t="s">
        <v>98</v>
      </c>
      <c r="G239" s="8" t="s">
        <v>98</v>
      </c>
      <c r="H239" s="8" t="s">
        <v>98</v>
      </c>
      <c r="I239" s="8" t="s">
        <v>97</v>
      </c>
      <c r="J239" s="8" t="s">
        <v>98</v>
      </c>
      <c r="K239" s="8" t="s">
        <v>98</v>
      </c>
      <c r="L239" s="8" t="s">
        <v>98</v>
      </c>
      <c r="M239" s="8" t="s">
        <v>98</v>
      </c>
      <c r="N239" s="8" t="s">
        <v>98</v>
      </c>
      <c r="O239" s="8" t="s">
        <v>98</v>
      </c>
      <c r="P239" s="8" t="s">
        <v>98</v>
      </c>
      <c r="Q239" s="8" t="s">
        <v>98</v>
      </c>
      <c r="R239" s="8" t="s">
        <v>98</v>
      </c>
      <c r="S239" s="8" t="s">
        <v>98</v>
      </c>
    </row>
    <row r="240" spans="1:19" ht="15.75" x14ac:dyDescent="0.25">
      <c r="A240" s="6">
        <f>Questionnaire!A240</f>
        <v>238</v>
      </c>
      <c r="B240" s="8" t="s">
        <v>98</v>
      </c>
      <c r="C240" s="8" t="s">
        <v>97</v>
      </c>
      <c r="D240" s="8" t="s">
        <v>97</v>
      </c>
      <c r="E240" s="8" t="s">
        <v>98</v>
      </c>
      <c r="F240" s="8" t="s">
        <v>98</v>
      </c>
      <c r="G240" s="8" t="s">
        <v>98</v>
      </c>
      <c r="H240" s="8" t="s">
        <v>98</v>
      </c>
      <c r="I240" s="8" t="s">
        <v>97</v>
      </c>
      <c r="J240" s="8" t="s">
        <v>97</v>
      </c>
      <c r="K240" s="8" t="s">
        <v>98</v>
      </c>
      <c r="L240" s="8" t="s">
        <v>98</v>
      </c>
      <c r="M240" s="8" t="s">
        <v>98</v>
      </c>
      <c r="N240" s="8" t="s">
        <v>98</v>
      </c>
      <c r="O240" s="8" t="s">
        <v>98</v>
      </c>
      <c r="P240" s="8" t="s">
        <v>98</v>
      </c>
      <c r="Q240" s="8" t="s">
        <v>98</v>
      </c>
      <c r="R240" s="8" t="s">
        <v>97</v>
      </c>
      <c r="S240" s="8" t="s">
        <v>97</v>
      </c>
    </row>
    <row r="241" spans="1:19" ht="15.75" x14ac:dyDescent="0.25">
      <c r="A241" s="6">
        <f>Questionnaire!A241</f>
        <v>239</v>
      </c>
      <c r="B241" s="8" t="s">
        <v>98</v>
      </c>
      <c r="C241" s="8" t="s">
        <v>98</v>
      </c>
      <c r="D241" s="8" t="s">
        <v>97</v>
      </c>
      <c r="E241" s="8" t="s">
        <v>98</v>
      </c>
      <c r="F241" s="8" t="s">
        <v>98</v>
      </c>
      <c r="G241" s="8" t="s">
        <v>98</v>
      </c>
      <c r="H241" s="8" t="s">
        <v>98</v>
      </c>
      <c r="I241" s="8" t="s">
        <v>98</v>
      </c>
      <c r="J241" s="8" t="s">
        <v>98</v>
      </c>
      <c r="K241" s="8" t="s">
        <v>98</v>
      </c>
      <c r="L241" s="8" t="s">
        <v>98</v>
      </c>
      <c r="M241" s="8" t="s">
        <v>98</v>
      </c>
      <c r="N241" s="8" t="s">
        <v>98</v>
      </c>
      <c r="O241" s="8" t="s">
        <v>98</v>
      </c>
      <c r="P241" s="8" t="s">
        <v>98</v>
      </c>
      <c r="Q241" s="8" t="s">
        <v>98</v>
      </c>
      <c r="R241" s="8" t="s">
        <v>98</v>
      </c>
      <c r="S241" s="8" t="s">
        <v>98</v>
      </c>
    </row>
    <row r="242" spans="1:19" ht="15.75" x14ac:dyDescent="0.25">
      <c r="A242" s="6">
        <f>Questionnaire!A242</f>
        <v>240</v>
      </c>
      <c r="B242" s="8" t="s">
        <v>98</v>
      </c>
      <c r="C242" s="8" t="s">
        <v>97</v>
      </c>
      <c r="D242" s="8" t="s">
        <v>98</v>
      </c>
      <c r="E242" s="8" t="s">
        <v>98</v>
      </c>
      <c r="F242" s="8" t="s">
        <v>98</v>
      </c>
      <c r="G242" s="8" t="s">
        <v>98</v>
      </c>
      <c r="H242" s="8" t="s">
        <v>98</v>
      </c>
      <c r="I242" s="8" t="s">
        <v>98</v>
      </c>
      <c r="J242" s="8" t="s">
        <v>97</v>
      </c>
      <c r="K242" s="8" t="s">
        <v>97</v>
      </c>
      <c r="L242" s="8" t="s">
        <v>98</v>
      </c>
      <c r="M242" s="8" t="s">
        <v>98</v>
      </c>
      <c r="N242" s="8" t="s">
        <v>98</v>
      </c>
      <c r="O242" s="8" t="s">
        <v>98</v>
      </c>
      <c r="P242" s="8" t="s">
        <v>98</v>
      </c>
      <c r="Q242" s="8" t="s">
        <v>98</v>
      </c>
      <c r="R242" s="8" t="s">
        <v>97</v>
      </c>
      <c r="S242" s="8" t="s">
        <v>97</v>
      </c>
    </row>
    <row r="243" spans="1:19" ht="15.75" x14ac:dyDescent="0.25">
      <c r="A243" s="6">
        <f>Questionnaire!A243</f>
        <v>241</v>
      </c>
      <c r="B243" s="8" t="s">
        <v>98</v>
      </c>
      <c r="C243" s="8" t="s">
        <v>97</v>
      </c>
      <c r="D243" s="8" t="s">
        <v>98</v>
      </c>
      <c r="E243" s="8" t="s">
        <v>98</v>
      </c>
      <c r="F243" s="8" t="s">
        <v>98</v>
      </c>
      <c r="G243" s="8" t="s">
        <v>98</v>
      </c>
      <c r="H243" s="8" t="s">
        <v>98</v>
      </c>
      <c r="I243" s="8" t="s">
        <v>98</v>
      </c>
      <c r="J243" s="8" t="s">
        <v>97</v>
      </c>
      <c r="K243" s="8" t="s">
        <v>98</v>
      </c>
      <c r="L243" s="8" t="s">
        <v>97</v>
      </c>
      <c r="M243" s="8" t="s">
        <v>98</v>
      </c>
      <c r="N243" s="8" t="s">
        <v>98</v>
      </c>
      <c r="O243" s="8" t="s">
        <v>98</v>
      </c>
      <c r="P243" s="8" t="s">
        <v>98</v>
      </c>
      <c r="Q243" s="8" t="s">
        <v>98</v>
      </c>
      <c r="R243" s="8" t="s">
        <v>98</v>
      </c>
      <c r="S243" s="8" t="s">
        <v>98</v>
      </c>
    </row>
    <row r="244" spans="1:19" ht="15.75" x14ac:dyDescent="0.25">
      <c r="A244" s="6">
        <f>Questionnaire!A244</f>
        <v>242</v>
      </c>
      <c r="B244" s="8" t="s">
        <v>98</v>
      </c>
      <c r="C244" s="8" t="s">
        <v>97</v>
      </c>
      <c r="D244" s="8" t="s">
        <v>98</v>
      </c>
      <c r="E244" s="8" t="s">
        <v>98</v>
      </c>
      <c r="F244" s="8" t="s">
        <v>98</v>
      </c>
      <c r="G244" s="8" t="s">
        <v>98</v>
      </c>
      <c r="H244" s="8" t="s">
        <v>98</v>
      </c>
      <c r="I244" s="8" t="s">
        <v>97</v>
      </c>
      <c r="J244" s="8" t="s">
        <v>98</v>
      </c>
      <c r="K244" s="8" t="s">
        <v>98</v>
      </c>
      <c r="L244" s="8" t="s">
        <v>97</v>
      </c>
      <c r="M244" s="8" t="s">
        <v>98</v>
      </c>
      <c r="N244" s="8" t="s">
        <v>98</v>
      </c>
      <c r="O244" s="8" t="s">
        <v>98</v>
      </c>
      <c r="P244" s="8" t="s">
        <v>98</v>
      </c>
      <c r="Q244" s="8" t="s">
        <v>98</v>
      </c>
      <c r="R244" s="8" t="s">
        <v>98</v>
      </c>
      <c r="S244" s="8" t="s">
        <v>98</v>
      </c>
    </row>
    <row r="245" spans="1:19" ht="15.75" x14ac:dyDescent="0.25">
      <c r="A245" s="6">
        <f>Questionnaire!A245</f>
        <v>243</v>
      </c>
      <c r="B245" s="8" t="s">
        <v>98</v>
      </c>
      <c r="C245" s="8" t="s">
        <v>97</v>
      </c>
      <c r="D245" s="8" t="s">
        <v>98</v>
      </c>
      <c r="E245" s="8" t="s">
        <v>98</v>
      </c>
      <c r="F245" s="8" t="s">
        <v>98</v>
      </c>
      <c r="G245" s="8" t="s">
        <v>98</v>
      </c>
      <c r="H245" s="8" t="s">
        <v>98</v>
      </c>
      <c r="I245" s="8" t="s">
        <v>97</v>
      </c>
      <c r="J245" s="8" t="s">
        <v>97</v>
      </c>
      <c r="K245" s="8" t="s">
        <v>98</v>
      </c>
      <c r="L245" s="8" t="s">
        <v>98</v>
      </c>
      <c r="M245" s="8" t="s">
        <v>97</v>
      </c>
      <c r="N245" s="8" t="s">
        <v>98</v>
      </c>
      <c r="O245" s="8" t="s">
        <v>98</v>
      </c>
      <c r="P245" s="8" t="s">
        <v>98</v>
      </c>
      <c r="Q245" s="8" t="s">
        <v>98</v>
      </c>
      <c r="R245" s="8" t="s">
        <v>98</v>
      </c>
      <c r="S245" s="8" t="s">
        <v>97</v>
      </c>
    </row>
    <row r="246" spans="1:19" ht="15.75" x14ac:dyDescent="0.25">
      <c r="A246" s="6">
        <f>Questionnaire!A246</f>
        <v>244</v>
      </c>
      <c r="B246" s="8" t="s">
        <v>98</v>
      </c>
      <c r="C246" s="8" t="s">
        <v>97</v>
      </c>
      <c r="D246" s="8" t="s">
        <v>98</v>
      </c>
      <c r="E246" s="8" t="s">
        <v>98</v>
      </c>
      <c r="F246" s="8" t="s">
        <v>98</v>
      </c>
      <c r="G246" s="8" t="s">
        <v>97</v>
      </c>
      <c r="H246" s="8" t="s">
        <v>97</v>
      </c>
      <c r="I246" s="8" t="s">
        <v>98</v>
      </c>
      <c r="J246" s="8" t="s">
        <v>98</v>
      </c>
      <c r="K246" s="8" t="s">
        <v>98</v>
      </c>
      <c r="L246" s="8" t="s">
        <v>98</v>
      </c>
      <c r="M246" s="8" t="s">
        <v>98</v>
      </c>
      <c r="N246" s="8" t="s">
        <v>98</v>
      </c>
      <c r="O246" s="8" t="s">
        <v>98</v>
      </c>
      <c r="P246" s="8" t="s">
        <v>98</v>
      </c>
      <c r="Q246" s="8" t="s">
        <v>98</v>
      </c>
      <c r="R246" s="8" t="s">
        <v>98</v>
      </c>
      <c r="S246" s="8" t="s">
        <v>98</v>
      </c>
    </row>
    <row r="247" spans="1:19" ht="15.75" x14ac:dyDescent="0.25">
      <c r="A247" s="6">
        <f>Questionnaire!A247</f>
        <v>245</v>
      </c>
      <c r="B247" s="8" t="s">
        <v>98</v>
      </c>
      <c r="C247" s="8" t="s">
        <v>98</v>
      </c>
      <c r="D247" s="8" t="s">
        <v>98</v>
      </c>
      <c r="E247" s="8" t="s">
        <v>98</v>
      </c>
      <c r="F247" s="8" t="s">
        <v>98</v>
      </c>
      <c r="G247" s="8" t="s">
        <v>97</v>
      </c>
      <c r="H247" s="8" t="s">
        <v>98</v>
      </c>
      <c r="I247" s="8" t="s">
        <v>98</v>
      </c>
      <c r="J247" s="8" t="s">
        <v>98</v>
      </c>
      <c r="K247" s="8" t="s">
        <v>98</v>
      </c>
      <c r="L247" s="8" t="s">
        <v>98</v>
      </c>
      <c r="M247" s="8" t="s">
        <v>98</v>
      </c>
      <c r="N247" s="8" t="s">
        <v>98</v>
      </c>
      <c r="O247" s="8" t="s">
        <v>98</v>
      </c>
      <c r="P247" s="8" t="s">
        <v>98</v>
      </c>
      <c r="Q247" s="8" t="s">
        <v>98</v>
      </c>
      <c r="R247" s="8" t="s">
        <v>98</v>
      </c>
      <c r="S247" s="8" t="s">
        <v>97</v>
      </c>
    </row>
    <row r="248" spans="1:19" ht="15.75" x14ac:dyDescent="0.25">
      <c r="A248" s="6">
        <f>Questionnaire!A248</f>
        <v>246</v>
      </c>
      <c r="B248" s="8" t="s">
        <v>98</v>
      </c>
      <c r="C248" s="8" t="s">
        <v>97</v>
      </c>
      <c r="D248" s="8" t="s">
        <v>97</v>
      </c>
      <c r="E248" s="8" t="s">
        <v>98</v>
      </c>
      <c r="F248" s="8" t="s">
        <v>98</v>
      </c>
      <c r="G248" s="8" t="s">
        <v>98</v>
      </c>
      <c r="H248" s="8" t="s">
        <v>98</v>
      </c>
      <c r="I248" s="8" t="s">
        <v>98</v>
      </c>
      <c r="J248" s="8" t="s">
        <v>98</v>
      </c>
      <c r="K248" s="8" t="s">
        <v>98</v>
      </c>
      <c r="L248" s="8" t="s">
        <v>98</v>
      </c>
      <c r="M248" s="8" t="s">
        <v>98</v>
      </c>
      <c r="N248" s="8" t="s">
        <v>98</v>
      </c>
      <c r="O248" s="8" t="s">
        <v>98</v>
      </c>
      <c r="P248" s="8" t="s">
        <v>98</v>
      </c>
      <c r="Q248" s="8" t="s">
        <v>98</v>
      </c>
      <c r="R248" s="8" t="s">
        <v>97</v>
      </c>
      <c r="S248" s="8" t="s">
        <v>98</v>
      </c>
    </row>
    <row r="249" spans="1:19" ht="15.75" x14ac:dyDescent="0.25">
      <c r="A249" s="6">
        <f>Questionnaire!A249</f>
        <v>247</v>
      </c>
      <c r="B249" s="8" t="s">
        <v>98</v>
      </c>
      <c r="C249" s="8" t="s">
        <v>97</v>
      </c>
      <c r="D249" s="8" t="s">
        <v>98</v>
      </c>
      <c r="E249" s="8" t="s">
        <v>98</v>
      </c>
      <c r="F249" s="8" t="s">
        <v>98</v>
      </c>
      <c r="G249" s="8" t="s">
        <v>97</v>
      </c>
      <c r="H249" s="8" t="s">
        <v>98</v>
      </c>
      <c r="I249" s="8" t="s">
        <v>97</v>
      </c>
      <c r="J249" s="8" t="s">
        <v>98</v>
      </c>
      <c r="K249" s="8" t="s">
        <v>97</v>
      </c>
      <c r="L249" s="8" t="s">
        <v>98</v>
      </c>
      <c r="M249" s="8" t="s">
        <v>98</v>
      </c>
      <c r="N249" s="8" t="s">
        <v>98</v>
      </c>
      <c r="O249" s="8" t="s">
        <v>98</v>
      </c>
      <c r="P249" s="8" t="s">
        <v>98</v>
      </c>
      <c r="Q249" s="8" t="s">
        <v>98</v>
      </c>
      <c r="R249" s="8" t="s">
        <v>98</v>
      </c>
      <c r="S249" s="8" t="s">
        <v>98</v>
      </c>
    </row>
    <row r="250" spans="1:19" ht="15.75" x14ac:dyDescent="0.25">
      <c r="A250" s="6">
        <f>Questionnaire!A250</f>
        <v>248</v>
      </c>
      <c r="B250" s="8" t="s">
        <v>98</v>
      </c>
      <c r="C250" s="8" t="s">
        <v>98</v>
      </c>
      <c r="D250" s="8" t="s">
        <v>98</v>
      </c>
      <c r="E250" s="8" t="s">
        <v>98</v>
      </c>
      <c r="F250" s="8" t="s">
        <v>98</v>
      </c>
      <c r="G250" s="8" t="s">
        <v>97</v>
      </c>
      <c r="H250" s="8" t="s">
        <v>97</v>
      </c>
      <c r="I250" s="8" t="s">
        <v>98</v>
      </c>
      <c r="J250" s="8" t="s">
        <v>98</v>
      </c>
      <c r="K250" s="8" t="s">
        <v>98</v>
      </c>
      <c r="L250" s="8" t="s">
        <v>98</v>
      </c>
      <c r="M250" s="8" t="s">
        <v>98</v>
      </c>
      <c r="N250" s="8" t="s">
        <v>98</v>
      </c>
      <c r="O250" s="8" t="s">
        <v>98</v>
      </c>
      <c r="P250" s="8" t="s">
        <v>98</v>
      </c>
      <c r="Q250" s="8" t="s">
        <v>98</v>
      </c>
      <c r="R250" s="8" t="s">
        <v>98</v>
      </c>
      <c r="S250" s="8" t="s">
        <v>98</v>
      </c>
    </row>
    <row r="251" spans="1:19" ht="15.75" x14ac:dyDescent="0.25">
      <c r="A251" s="6">
        <f>Questionnaire!A251</f>
        <v>249</v>
      </c>
      <c r="B251" s="8" t="s">
        <v>98</v>
      </c>
      <c r="C251" s="8" t="s">
        <v>97</v>
      </c>
      <c r="D251" s="8" t="s">
        <v>97</v>
      </c>
      <c r="E251" s="8" t="s">
        <v>98</v>
      </c>
      <c r="F251" s="8" t="s">
        <v>98</v>
      </c>
      <c r="G251" s="8" t="s">
        <v>98</v>
      </c>
      <c r="H251" s="8" t="s">
        <v>98</v>
      </c>
      <c r="I251" s="8" t="s">
        <v>97</v>
      </c>
      <c r="J251" s="8" t="s">
        <v>97</v>
      </c>
      <c r="K251" s="8" t="s">
        <v>97</v>
      </c>
      <c r="L251" s="8" t="s">
        <v>98</v>
      </c>
      <c r="M251" s="8" t="s">
        <v>97</v>
      </c>
      <c r="N251" s="8" t="s">
        <v>98</v>
      </c>
      <c r="O251" s="8" t="s">
        <v>98</v>
      </c>
      <c r="P251" s="8" t="s">
        <v>98</v>
      </c>
      <c r="Q251" s="8" t="s">
        <v>98</v>
      </c>
      <c r="R251" s="8" t="s">
        <v>98</v>
      </c>
      <c r="S251" s="8" t="s">
        <v>98</v>
      </c>
    </row>
    <row r="252" spans="1:19" ht="15.75" x14ac:dyDescent="0.25">
      <c r="A252" s="6">
        <f>Questionnaire!A252</f>
        <v>250</v>
      </c>
      <c r="B252" s="8" t="s">
        <v>98</v>
      </c>
      <c r="C252" s="8" t="s">
        <v>98</v>
      </c>
      <c r="D252" s="8" t="s">
        <v>98</v>
      </c>
      <c r="E252" s="8" t="s">
        <v>98</v>
      </c>
      <c r="F252" s="8" t="s">
        <v>98</v>
      </c>
      <c r="G252" s="8" t="s">
        <v>97</v>
      </c>
      <c r="H252" s="8" t="s">
        <v>97</v>
      </c>
      <c r="I252" s="8" t="s">
        <v>98</v>
      </c>
      <c r="J252" s="8" t="s">
        <v>98</v>
      </c>
      <c r="K252" s="8" t="s">
        <v>98</v>
      </c>
      <c r="L252" s="8" t="s">
        <v>97</v>
      </c>
      <c r="M252" s="8" t="s">
        <v>98</v>
      </c>
      <c r="N252" s="8" t="s">
        <v>98</v>
      </c>
      <c r="O252" s="8" t="s">
        <v>98</v>
      </c>
      <c r="P252" s="8" t="s">
        <v>98</v>
      </c>
      <c r="Q252" s="8" t="s">
        <v>98</v>
      </c>
      <c r="R252" s="8" t="s">
        <v>98</v>
      </c>
      <c r="S252" s="8" t="s">
        <v>98</v>
      </c>
    </row>
    <row r="253" spans="1:19" ht="15.75" x14ac:dyDescent="0.25">
      <c r="A253" s="6">
        <f>Questionnaire!A253</f>
        <v>251</v>
      </c>
      <c r="B253" s="8" t="s">
        <v>98</v>
      </c>
      <c r="C253" s="8" t="s">
        <v>98</v>
      </c>
      <c r="D253" s="8" t="s">
        <v>98</v>
      </c>
      <c r="E253" s="8" t="s">
        <v>98</v>
      </c>
      <c r="F253" s="8" t="s">
        <v>98</v>
      </c>
      <c r="G253" s="8" t="s">
        <v>97</v>
      </c>
      <c r="H253" s="8" t="s">
        <v>97</v>
      </c>
      <c r="I253" s="8" t="s">
        <v>98</v>
      </c>
      <c r="J253" s="8" t="s">
        <v>98</v>
      </c>
      <c r="K253" s="8" t="s">
        <v>98</v>
      </c>
      <c r="L253" s="8" t="s">
        <v>98</v>
      </c>
      <c r="M253" s="8" t="s">
        <v>98</v>
      </c>
      <c r="N253" s="8" t="s">
        <v>98</v>
      </c>
      <c r="O253" s="8" t="s">
        <v>98</v>
      </c>
      <c r="P253" s="8" t="s">
        <v>98</v>
      </c>
      <c r="Q253" s="8" t="s">
        <v>98</v>
      </c>
      <c r="R253" s="8" t="s">
        <v>98</v>
      </c>
      <c r="S253" s="8" t="s">
        <v>97</v>
      </c>
    </row>
    <row r="254" spans="1:19" ht="15.75" x14ac:dyDescent="0.25">
      <c r="A254" s="6">
        <f>Questionnaire!A254</f>
        <v>252</v>
      </c>
      <c r="B254" s="8" t="s">
        <v>98</v>
      </c>
      <c r="C254" s="8" t="s">
        <v>97</v>
      </c>
      <c r="D254" s="8" t="s">
        <v>97</v>
      </c>
      <c r="E254" s="8" t="s">
        <v>98</v>
      </c>
      <c r="F254" s="8" t="s">
        <v>98</v>
      </c>
      <c r="G254" s="8" t="s">
        <v>98</v>
      </c>
      <c r="H254" s="8" t="s">
        <v>98</v>
      </c>
      <c r="I254" s="8" t="s">
        <v>97</v>
      </c>
      <c r="J254" s="8" t="s">
        <v>98</v>
      </c>
      <c r="K254" s="8" t="s">
        <v>98</v>
      </c>
      <c r="L254" s="8" t="s">
        <v>98</v>
      </c>
      <c r="M254" s="8" t="s">
        <v>98</v>
      </c>
      <c r="N254" s="8" t="s">
        <v>98</v>
      </c>
      <c r="O254" s="8" t="s">
        <v>98</v>
      </c>
      <c r="P254" s="8" t="s">
        <v>98</v>
      </c>
      <c r="Q254" s="8" t="s">
        <v>98</v>
      </c>
      <c r="R254" s="8" t="s">
        <v>98</v>
      </c>
      <c r="S254" s="8" t="s">
        <v>98</v>
      </c>
    </row>
    <row r="255" spans="1:19" ht="15.75" x14ac:dyDescent="0.25">
      <c r="A255" s="6">
        <f>Questionnaire!A255</f>
        <v>253</v>
      </c>
      <c r="B255" s="8" t="s">
        <v>97</v>
      </c>
      <c r="C255" s="8" t="s">
        <v>98</v>
      </c>
      <c r="D255" s="8" t="s">
        <v>98</v>
      </c>
      <c r="E255" s="8" t="s">
        <v>98</v>
      </c>
      <c r="F255" s="8" t="s">
        <v>98</v>
      </c>
      <c r="G255" s="8" t="s">
        <v>98</v>
      </c>
      <c r="H255" s="8" t="s">
        <v>98</v>
      </c>
      <c r="I255" s="8" t="s">
        <v>97</v>
      </c>
      <c r="J255" s="8" t="s">
        <v>98</v>
      </c>
      <c r="K255" s="8" t="s">
        <v>98</v>
      </c>
      <c r="L255" s="8" t="s">
        <v>98</v>
      </c>
      <c r="M255" s="8" t="s">
        <v>98</v>
      </c>
      <c r="N255" s="8" t="s">
        <v>98</v>
      </c>
      <c r="O255" s="8" t="s">
        <v>98</v>
      </c>
      <c r="P255" s="8" t="s">
        <v>98</v>
      </c>
      <c r="Q255" s="8" t="s">
        <v>98</v>
      </c>
      <c r="R255" s="8" t="s">
        <v>97</v>
      </c>
      <c r="S255" s="8" t="s">
        <v>97</v>
      </c>
    </row>
    <row r="256" spans="1:19" ht="15.75" x14ac:dyDescent="0.25">
      <c r="A256" s="6">
        <f>Questionnaire!A256</f>
        <v>254</v>
      </c>
      <c r="B256" s="8" t="s">
        <v>98</v>
      </c>
      <c r="C256" s="8" t="s">
        <v>97</v>
      </c>
      <c r="D256" s="8" t="s">
        <v>97</v>
      </c>
      <c r="E256" s="8" t="s">
        <v>98</v>
      </c>
      <c r="F256" s="8" t="s">
        <v>98</v>
      </c>
      <c r="G256" s="8" t="s">
        <v>98</v>
      </c>
      <c r="H256" s="8" t="s">
        <v>98</v>
      </c>
      <c r="I256" s="8" t="s">
        <v>97</v>
      </c>
      <c r="J256" s="8" t="s">
        <v>98</v>
      </c>
      <c r="K256" s="8" t="s">
        <v>98</v>
      </c>
      <c r="L256" s="8" t="s">
        <v>98</v>
      </c>
      <c r="M256" s="8" t="s">
        <v>98</v>
      </c>
      <c r="N256" s="8" t="s">
        <v>98</v>
      </c>
      <c r="O256" s="8" t="s">
        <v>98</v>
      </c>
      <c r="P256" s="8" t="s">
        <v>98</v>
      </c>
      <c r="Q256" s="8" t="s">
        <v>98</v>
      </c>
      <c r="R256" s="8" t="s">
        <v>98</v>
      </c>
      <c r="S256" s="8" t="s">
        <v>98</v>
      </c>
    </row>
    <row r="257" spans="1:19" ht="15.75" x14ac:dyDescent="0.25">
      <c r="A257" s="6">
        <f>Questionnaire!A257</f>
        <v>255</v>
      </c>
      <c r="B257" s="8" t="s">
        <v>98</v>
      </c>
      <c r="C257" s="8" t="s">
        <v>97</v>
      </c>
      <c r="D257" s="8" t="s">
        <v>97</v>
      </c>
      <c r="E257" s="8" t="s">
        <v>98</v>
      </c>
      <c r="F257" s="8" t="s">
        <v>98</v>
      </c>
      <c r="G257" s="8" t="s">
        <v>98</v>
      </c>
      <c r="H257" s="8" t="s">
        <v>97</v>
      </c>
      <c r="I257" s="8" t="s">
        <v>98</v>
      </c>
      <c r="J257" s="8" t="s">
        <v>98</v>
      </c>
      <c r="K257" s="8" t="s">
        <v>97</v>
      </c>
      <c r="L257" s="8" t="s">
        <v>97</v>
      </c>
      <c r="M257" s="8" t="s">
        <v>98</v>
      </c>
      <c r="N257" s="8" t="s">
        <v>98</v>
      </c>
      <c r="O257" s="8" t="s">
        <v>98</v>
      </c>
      <c r="P257" s="8" t="s">
        <v>98</v>
      </c>
      <c r="Q257" s="8" t="s">
        <v>98</v>
      </c>
      <c r="R257" s="8" t="s">
        <v>98</v>
      </c>
      <c r="S257" s="8" t="s">
        <v>98</v>
      </c>
    </row>
    <row r="258" spans="1:19" ht="15.75" x14ac:dyDescent="0.25">
      <c r="A258" s="6">
        <f>Questionnaire!A258</f>
        <v>256</v>
      </c>
      <c r="B258" s="8" t="s">
        <v>98</v>
      </c>
      <c r="C258" s="8" t="s">
        <v>97</v>
      </c>
      <c r="D258" s="8" t="s">
        <v>98</v>
      </c>
      <c r="E258" s="8" t="s">
        <v>98</v>
      </c>
      <c r="F258" s="8" t="s">
        <v>98</v>
      </c>
      <c r="G258" s="8" t="s">
        <v>98</v>
      </c>
      <c r="H258" s="8" t="s">
        <v>98</v>
      </c>
      <c r="I258" s="8" t="s">
        <v>98</v>
      </c>
      <c r="J258" s="8" t="s">
        <v>98</v>
      </c>
      <c r="K258" s="8" t="s">
        <v>97</v>
      </c>
      <c r="L258" s="8" t="s">
        <v>97</v>
      </c>
      <c r="M258" s="8" t="s">
        <v>98</v>
      </c>
      <c r="N258" s="8" t="s">
        <v>98</v>
      </c>
      <c r="O258" s="8" t="s">
        <v>98</v>
      </c>
      <c r="P258" s="8" t="s">
        <v>98</v>
      </c>
      <c r="Q258" s="8" t="s">
        <v>98</v>
      </c>
      <c r="R258" s="8" t="s">
        <v>98</v>
      </c>
      <c r="S258" s="8" t="s">
        <v>98</v>
      </c>
    </row>
    <row r="259" spans="1:19" ht="15.75" x14ac:dyDescent="0.25">
      <c r="A259" s="6">
        <f>Questionnaire!A259</f>
        <v>257</v>
      </c>
      <c r="B259" s="8" t="s">
        <v>98</v>
      </c>
      <c r="C259" s="8" t="s">
        <v>97</v>
      </c>
      <c r="D259" s="8" t="s">
        <v>97</v>
      </c>
      <c r="E259" s="8" t="s">
        <v>97</v>
      </c>
      <c r="F259" s="8" t="s">
        <v>98</v>
      </c>
      <c r="G259" s="8" t="s">
        <v>98</v>
      </c>
      <c r="H259" s="8" t="s">
        <v>98</v>
      </c>
      <c r="I259" s="8" t="s">
        <v>97</v>
      </c>
      <c r="J259" s="8" t="s">
        <v>97</v>
      </c>
      <c r="K259" s="8" t="s">
        <v>97</v>
      </c>
      <c r="L259" s="8" t="s">
        <v>98</v>
      </c>
      <c r="M259" s="8" t="s">
        <v>98</v>
      </c>
      <c r="N259" s="8" t="s">
        <v>98</v>
      </c>
      <c r="O259" s="8" t="s">
        <v>98</v>
      </c>
      <c r="P259" s="8" t="s">
        <v>98</v>
      </c>
      <c r="Q259" s="8" t="s">
        <v>98</v>
      </c>
      <c r="R259" s="8" t="s">
        <v>98</v>
      </c>
      <c r="S259" s="8" t="s">
        <v>98</v>
      </c>
    </row>
    <row r="260" spans="1:19" ht="15.75" x14ac:dyDescent="0.25">
      <c r="A260" s="6">
        <f>Questionnaire!A260</f>
        <v>258</v>
      </c>
      <c r="B260" s="8" t="s">
        <v>98</v>
      </c>
      <c r="C260" s="8" t="s">
        <v>97</v>
      </c>
      <c r="D260" s="8" t="s">
        <v>98</v>
      </c>
      <c r="E260" s="8" t="s">
        <v>98</v>
      </c>
      <c r="F260" s="8" t="s">
        <v>98</v>
      </c>
      <c r="G260" s="8" t="s">
        <v>98</v>
      </c>
      <c r="H260" s="8" t="s">
        <v>97</v>
      </c>
      <c r="I260" s="8" t="s">
        <v>98</v>
      </c>
      <c r="J260" s="8" t="s">
        <v>98</v>
      </c>
      <c r="K260" s="8" t="s">
        <v>97</v>
      </c>
      <c r="L260" s="8" t="s">
        <v>98</v>
      </c>
      <c r="M260" s="8" t="s">
        <v>98</v>
      </c>
      <c r="N260" s="8" t="s">
        <v>98</v>
      </c>
      <c r="O260" s="8" t="s">
        <v>98</v>
      </c>
      <c r="P260" s="8" t="s">
        <v>98</v>
      </c>
      <c r="Q260" s="8" t="s">
        <v>98</v>
      </c>
      <c r="R260" s="8" t="s">
        <v>98</v>
      </c>
      <c r="S260" s="8" t="s">
        <v>97</v>
      </c>
    </row>
    <row r="261" spans="1:19" ht="15.75" x14ac:dyDescent="0.25">
      <c r="A261" s="6">
        <f>Questionnaire!A261</f>
        <v>259</v>
      </c>
      <c r="B261" s="8" t="s">
        <v>98</v>
      </c>
      <c r="C261" s="8" t="s">
        <v>97</v>
      </c>
      <c r="D261" s="8" t="s">
        <v>98</v>
      </c>
      <c r="E261" s="8" t="s">
        <v>98</v>
      </c>
      <c r="F261" s="8" t="s">
        <v>98</v>
      </c>
      <c r="G261" s="8" t="s">
        <v>98</v>
      </c>
      <c r="H261" s="8" t="s">
        <v>98</v>
      </c>
      <c r="I261" s="8" t="s">
        <v>98</v>
      </c>
      <c r="J261" s="8" t="s">
        <v>98</v>
      </c>
      <c r="K261" s="8" t="s">
        <v>98</v>
      </c>
      <c r="L261" s="8" t="s">
        <v>98</v>
      </c>
      <c r="M261" s="8" t="s">
        <v>98</v>
      </c>
      <c r="N261" s="8" t="s">
        <v>98</v>
      </c>
      <c r="O261" s="8" t="s">
        <v>98</v>
      </c>
      <c r="P261" s="8" t="s">
        <v>98</v>
      </c>
      <c r="Q261" s="8" t="s">
        <v>98</v>
      </c>
      <c r="R261" s="8" t="s">
        <v>98</v>
      </c>
      <c r="S261" s="8" t="s">
        <v>98</v>
      </c>
    </row>
    <row r="262" spans="1:19" ht="15.75" x14ac:dyDescent="0.25">
      <c r="A262" s="6">
        <f>Questionnaire!A262</f>
        <v>260</v>
      </c>
      <c r="B262" s="8" t="s">
        <v>98</v>
      </c>
      <c r="C262" s="8" t="s">
        <v>98</v>
      </c>
      <c r="D262" s="8" t="s">
        <v>98</v>
      </c>
      <c r="E262" s="8" t="s">
        <v>98</v>
      </c>
      <c r="F262" s="8" t="s">
        <v>98</v>
      </c>
      <c r="G262" s="8" t="s">
        <v>97</v>
      </c>
      <c r="H262" s="8" t="s">
        <v>98</v>
      </c>
      <c r="I262" s="8" t="s">
        <v>97</v>
      </c>
      <c r="J262" s="8" t="s">
        <v>97</v>
      </c>
      <c r="K262" s="8" t="s">
        <v>97</v>
      </c>
      <c r="L262" s="8" t="s">
        <v>98</v>
      </c>
      <c r="M262" s="8" t="s">
        <v>98</v>
      </c>
      <c r="N262" s="8" t="s">
        <v>98</v>
      </c>
      <c r="O262" s="8" t="s">
        <v>98</v>
      </c>
      <c r="P262" s="8" t="s">
        <v>98</v>
      </c>
      <c r="Q262" s="8" t="s">
        <v>98</v>
      </c>
      <c r="R262" s="8" t="s">
        <v>98</v>
      </c>
      <c r="S262" s="8" t="s">
        <v>98</v>
      </c>
    </row>
    <row r="263" spans="1:19" ht="15.75" x14ac:dyDescent="0.25">
      <c r="A263" s="6">
        <f>Questionnaire!A263</f>
        <v>261</v>
      </c>
      <c r="B263" s="8" t="s">
        <v>98</v>
      </c>
      <c r="C263" s="8" t="s">
        <v>97</v>
      </c>
      <c r="D263" s="8" t="s">
        <v>97</v>
      </c>
      <c r="E263" s="8" t="s">
        <v>98</v>
      </c>
      <c r="F263" s="8" t="s">
        <v>98</v>
      </c>
      <c r="G263" s="8" t="s">
        <v>98</v>
      </c>
      <c r="H263" s="8" t="s">
        <v>97</v>
      </c>
      <c r="I263" s="8" t="s">
        <v>98</v>
      </c>
      <c r="J263" s="8" t="s">
        <v>97</v>
      </c>
      <c r="K263" s="8" t="s">
        <v>98</v>
      </c>
      <c r="L263" s="8" t="s">
        <v>97</v>
      </c>
      <c r="M263" s="8" t="s">
        <v>98</v>
      </c>
      <c r="N263" s="8" t="s">
        <v>98</v>
      </c>
      <c r="O263" s="8" t="s">
        <v>98</v>
      </c>
      <c r="P263" s="8" t="s">
        <v>98</v>
      </c>
      <c r="Q263" s="8" t="s">
        <v>98</v>
      </c>
      <c r="R263" s="8" t="s">
        <v>98</v>
      </c>
      <c r="S263" s="8" t="s">
        <v>98</v>
      </c>
    </row>
    <row r="264" spans="1:19" ht="15.75" x14ac:dyDescent="0.25">
      <c r="A264" s="6">
        <f>Questionnaire!A264</f>
        <v>262</v>
      </c>
      <c r="B264" s="8" t="s">
        <v>98</v>
      </c>
      <c r="C264" s="8" t="s">
        <v>97</v>
      </c>
      <c r="D264" s="8" t="s">
        <v>97</v>
      </c>
      <c r="E264" s="8" t="s">
        <v>98</v>
      </c>
      <c r="F264" s="8" t="s">
        <v>98</v>
      </c>
      <c r="G264" s="8" t="s">
        <v>98</v>
      </c>
      <c r="H264" s="8" t="s">
        <v>98</v>
      </c>
      <c r="I264" s="8" t="s">
        <v>97</v>
      </c>
      <c r="J264" s="8" t="s">
        <v>97</v>
      </c>
      <c r="K264" s="8" t="s">
        <v>97</v>
      </c>
      <c r="L264" s="8" t="s">
        <v>97</v>
      </c>
      <c r="M264" s="8" t="s">
        <v>97</v>
      </c>
      <c r="N264" s="8" t="s">
        <v>98</v>
      </c>
      <c r="O264" s="8" t="s">
        <v>98</v>
      </c>
      <c r="P264" s="8" t="s">
        <v>98</v>
      </c>
      <c r="Q264" s="8" t="s">
        <v>98</v>
      </c>
      <c r="R264" s="8" t="s">
        <v>98</v>
      </c>
      <c r="S264" s="8" t="s">
        <v>98</v>
      </c>
    </row>
    <row r="265" spans="1:19" ht="15.75" x14ac:dyDescent="0.25">
      <c r="A265" s="6">
        <f>Questionnaire!A265</f>
        <v>263</v>
      </c>
      <c r="B265" s="8" t="s">
        <v>98</v>
      </c>
      <c r="C265" s="8" t="s">
        <v>97</v>
      </c>
      <c r="D265" s="8" t="s">
        <v>98</v>
      </c>
      <c r="E265" s="8" t="s">
        <v>98</v>
      </c>
      <c r="F265" s="8" t="s">
        <v>98</v>
      </c>
      <c r="G265" s="8" t="s">
        <v>98</v>
      </c>
      <c r="H265" s="8" t="s">
        <v>98</v>
      </c>
      <c r="I265" s="8" t="s">
        <v>98</v>
      </c>
      <c r="J265" s="8" t="s">
        <v>98</v>
      </c>
      <c r="K265" s="8" t="s">
        <v>98</v>
      </c>
      <c r="L265" s="8" t="s">
        <v>98</v>
      </c>
      <c r="M265" s="8" t="s">
        <v>98</v>
      </c>
      <c r="N265" s="8" t="s">
        <v>98</v>
      </c>
      <c r="O265" s="8" t="s">
        <v>98</v>
      </c>
      <c r="P265" s="8" t="s">
        <v>98</v>
      </c>
      <c r="Q265" s="8" t="s">
        <v>98</v>
      </c>
      <c r="R265" s="8" t="s">
        <v>98</v>
      </c>
      <c r="S265" s="8" t="s">
        <v>98</v>
      </c>
    </row>
    <row r="266" spans="1:19" ht="15.75" x14ac:dyDescent="0.25">
      <c r="A266" s="6">
        <f>Questionnaire!A266</f>
        <v>264</v>
      </c>
      <c r="B266" s="8" t="s">
        <v>98</v>
      </c>
      <c r="C266" s="8" t="s">
        <v>98</v>
      </c>
      <c r="D266" s="8" t="s">
        <v>98</v>
      </c>
      <c r="E266" s="8" t="s">
        <v>98</v>
      </c>
      <c r="F266" s="8" t="s">
        <v>98</v>
      </c>
      <c r="G266" s="8" t="s">
        <v>97</v>
      </c>
      <c r="H266" s="8" t="s">
        <v>98</v>
      </c>
      <c r="I266" s="8" t="s">
        <v>98</v>
      </c>
      <c r="J266" s="8" t="s">
        <v>98</v>
      </c>
      <c r="K266" s="8" t="s">
        <v>98</v>
      </c>
      <c r="L266" s="8" t="s">
        <v>98</v>
      </c>
      <c r="M266" s="8" t="s">
        <v>98</v>
      </c>
      <c r="N266" s="8" t="s">
        <v>98</v>
      </c>
      <c r="O266" s="8" t="s">
        <v>98</v>
      </c>
      <c r="P266" s="8" t="s">
        <v>98</v>
      </c>
      <c r="Q266" s="8" t="s">
        <v>98</v>
      </c>
      <c r="R266" s="8" t="s">
        <v>98</v>
      </c>
      <c r="S266" s="8" t="s">
        <v>98</v>
      </c>
    </row>
    <row r="267" spans="1:19" ht="15.75" x14ac:dyDescent="0.25">
      <c r="A267" s="6">
        <f>Questionnaire!A267</f>
        <v>265</v>
      </c>
      <c r="B267" s="8" t="s">
        <v>98</v>
      </c>
      <c r="C267" s="8" t="s">
        <v>97</v>
      </c>
      <c r="D267" s="8" t="s">
        <v>98</v>
      </c>
      <c r="E267" s="8" t="s">
        <v>98</v>
      </c>
      <c r="F267" s="8" t="s">
        <v>98</v>
      </c>
      <c r="G267" s="8" t="s">
        <v>98</v>
      </c>
      <c r="H267" s="8" t="s">
        <v>98</v>
      </c>
      <c r="I267" s="8" t="s">
        <v>97</v>
      </c>
      <c r="J267" s="8" t="s">
        <v>98</v>
      </c>
      <c r="K267" s="8" t="s">
        <v>98</v>
      </c>
      <c r="L267" s="8" t="s">
        <v>97</v>
      </c>
      <c r="M267" s="8" t="s">
        <v>98</v>
      </c>
      <c r="N267" s="8" t="s">
        <v>98</v>
      </c>
      <c r="O267" s="8" t="s">
        <v>98</v>
      </c>
      <c r="P267" s="8" t="s">
        <v>98</v>
      </c>
      <c r="Q267" s="8" t="s">
        <v>98</v>
      </c>
      <c r="R267" s="8" t="s">
        <v>98</v>
      </c>
      <c r="S267" s="8" t="s">
        <v>98</v>
      </c>
    </row>
    <row r="268" spans="1:19" ht="15.75" x14ac:dyDescent="0.25">
      <c r="A268" s="6">
        <f>Questionnaire!A268</f>
        <v>266</v>
      </c>
      <c r="B268" s="8" t="s">
        <v>98</v>
      </c>
      <c r="C268" s="8" t="s">
        <v>97</v>
      </c>
      <c r="D268" s="8" t="s">
        <v>98</v>
      </c>
      <c r="E268" s="8" t="s">
        <v>98</v>
      </c>
      <c r="F268" s="8" t="s">
        <v>98</v>
      </c>
      <c r="G268" s="8" t="s">
        <v>98</v>
      </c>
      <c r="H268" s="8" t="s">
        <v>98</v>
      </c>
      <c r="I268" s="8" t="s">
        <v>98</v>
      </c>
      <c r="J268" s="8" t="s">
        <v>98</v>
      </c>
      <c r="K268" s="8" t="s">
        <v>98</v>
      </c>
      <c r="L268" s="8" t="s">
        <v>98</v>
      </c>
      <c r="M268" s="8" t="s">
        <v>98</v>
      </c>
      <c r="N268" s="8" t="s">
        <v>98</v>
      </c>
      <c r="O268" s="8" t="s">
        <v>98</v>
      </c>
      <c r="P268" s="8" t="s">
        <v>98</v>
      </c>
      <c r="Q268" s="8" t="s">
        <v>98</v>
      </c>
      <c r="R268" s="8" t="s">
        <v>98</v>
      </c>
      <c r="S268" s="8" t="s">
        <v>98</v>
      </c>
    </row>
    <row r="269" spans="1:19" ht="15.75" x14ac:dyDescent="0.25">
      <c r="A269" s="6">
        <f>Questionnaire!A269</f>
        <v>267</v>
      </c>
      <c r="B269" s="8" t="s">
        <v>98</v>
      </c>
      <c r="C269" s="8" t="s">
        <v>98</v>
      </c>
      <c r="D269" s="8" t="s">
        <v>98</v>
      </c>
      <c r="E269" s="8" t="s">
        <v>98</v>
      </c>
      <c r="F269" s="8" t="s">
        <v>98</v>
      </c>
      <c r="G269" s="8" t="s">
        <v>97</v>
      </c>
      <c r="H269" s="8" t="s">
        <v>98</v>
      </c>
      <c r="I269" s="8" t="s">
        <v>97</v>
      </c>
      <c r="J269" s="8" t="s">
        <v>98</v>
      </c>
      <c r="K269" s="8" t="s">
        <v>98</v>
      </c>
      <c r="L269" s="8" t="s">
        <v>97</v>
      </c>
      <c r="M269" s="8" t="s">
        <v>98</v>
      </c>
      <c r="N269" s="8" t="s">
        <v>98</v>
      </c>
      <c r="O269" s="8" t="s">
        <v>98</v>
      </c>
      <c r="P269" s="8" t="s">
        <v>98</v>
      </c>
      <c r="Q269" s="8" t="s">
        <v>98</v>
      </c>
      <c r="R269" s="8" t="s">
        <v>98</v>
      </c>
      <c r="S269" s="8" t="s">
        <v>97</v>
      </c>
    </row>
    <row r="270" spans="1:19" ht="15.75" x14ac:dyDescent="0.25">
      <c r="A270" s="6">
        <f>Questionnaire!A270</f>
        <v>268</v>
      </c>
      <c r="B270" s="8" t="s">
        <v>98</v>
      </c>
      <c r="C270" s="8" t="s">
        <v>98</v>
      </c>
      <c r="D270" s="8" t="s">
        <v>98</v>
      </c>
      <c r="E270" s="8" t="s">
        <v>98</v>
      </c>
      <c r="F270" s="8" t="s">
        <v>98</v>
      </c>
      <c r="G270" s="8" t="s">
        <v>97</v>
      </c>
      <c r="H270" s="8" t="s">
        <v>98</v>
      </c>
      <c r="I270" s="8" t="s">
        <v>98</v>
      </c>
      <c r="J270" s="8" t="s">
        <v>98</v>
      </c>
      <c r="K270" s="8" t="s">
        <v>98</v>
      </c>
      <c r="L270" s="8" t="s">
        <v>98</v>
      </c>
      <c r="M270" s="8" t="s">
        <v>98</v>
      </c>
      <c r="N270" s="8" t="s">
        <v>98</v>
      </c>
      <c r="O270" s="8" t="s">
        <v>98</v>
      </c>
      <c r="P270" s="8" t="s">
        <v>98</v>
      </c>
      <c r="Q270" s="8" t="s">
        <v>98</v>
      </c>
      <c r="R270" s="8" t="s">
        <v>98</v>
      </c>
      <c r="S270" s="8" t="s">
        <v>98</v>
      </c>
    </row>
    <row r="271" spans="1:19" ht="15.75" x14ac:dyDescent="0.25">
      <c r="A271" s="6">
        <f>Questionnaire!A271</f>
        <v>269</v>
      </c>
      <c r="B271" s="8" t="s">
        <v>98</v>
      </c>
      <c r="C271" s="8" t="s">
        <v>97</v>
      </c>
      <c r="D271" s="8" t="s">
        <v>97</v>
      </c>
      <c r="E271" s="8" t="s">
        <v>98</v>
      </c>
      <c r="F271" s="8" t="s">
        <v>98</v>
      </c>
      <c r="G271" s="8" t="s">
        <v>98</v>
      </c>
      <c r="H271" s="8" t="s">
        <v>97</v>
      </c>
      <c r="I271" s="8" t="s">
        <v>98</v>
      </c>
      <c r="J271" s="8" t="s">
        <v>98</v>
      </c>
      <c r="K271" s="8" t="s">
        <v>98</v>
      </c>
      <c r="L271" s="8" t="s">
        <v>98</v>
      </c>
      <c r="M271" s="8" t="s">
        <v>98</v>
      </c>
      <c r="N271" s="8" t="s">
        <v>98</v>
      </c>
      <c r="O271" s="8" t="s">
        <v>98</v>
      </c>
      <c r="P271" s="8" t="s">
        <v>98</v>
      </c>
      <c r="Q271" s="8" t="s">
        <v>98</v>
      </c>
      <c r="R271" s="8" t="s">
        <v>98</v>
      </c>
      <c r="S271" s="8" t="s">
        <v>98</v>
      </c>
    </row>
    <row r="272" spans="1:19" ht="15.75" x14ac:dyDescent="0.25">
      <c r="A272" s="6">
        <f>Questionnaire!A272</f>
        <v>270</v>
      </c>
      <c r="B272" s="8" t="s">
        <v>98</v>
      </c>
      <c r="C272" s="8" t="s">
        <v>97</v>
      </c>
      <c r="D272" s="8" t="s">
        <v>98</v>
      </c>
      <c r="E272" s="8" t="s">
        <v>98</v>
      </c>
      <c r="F272" s="8" t="s">
        <v>98</v>
      </c>
      <c r="G272" s="8" t="s">
        <v>98</v>
      </c>
      <c r="H272" s="8" t="s">
        <v>98</v>
      </c>
      <c r="I272" s="8" t="s">
        <v>98</v>
      </c>
      <c r="J272" s="8" t="s">
        <v>98</v>
      </c>
      <c r="K272" s="8" t="s">
        <v>97</v>
      </c>
      <c r="L272" s="8" t="s">
        <v>97</v>
      </c>
      <c r="M272" s="8" t="s">
        <v>98</v>
      </c>
      <c r="N272" s="8" t="s">
        <v>98</v>
      </c>
      <c r="O272" s="8" t="s">
        <v>98</v>
      </c>
      <c r="P272" s="8" t="s">
        <v>98</v>
      </c>
      <c r="Q272" s="8" t="s">
        <v>98</v>
      </c>
      <c r="R272" s="8" t="s">
        <v>98</v>
      </c>
      <c r="S272" s="8" t="s">
        <v>98</v>
      </c>
    </row>
    <row r="273" spans="1:19" ht="15.75" x14ac:dyDescent="0.25">
      <c r="A273" s="6">
        <f>Questionnaire!A273</f>
        <v>271</v>
      </c>
      <c r="B273" s="8" t="s">
        <v>98</v>
      </c>
      <c r="C273" s="8" t="s">
        <v>98</v>
      </c>
      <c r="D273" s="8" t="s">
        <v>98</v>
      </c>
      <c r="E273" s="8" t="s">
        <v>98</v>
      </c>
      <c r="F273" s="8" t="s">
        <v>98</v>
      </c>
      <c r="G273" s="8" t="s">
        <v>97</v>
      </c>
      <c r="H273" s="8" t="s">
        <v>98</v>
      </c>
      <c r="I273" s="8" t="s">
        <v>97</v>
      </c>
      <c r="J273" s="8" t="s">
        <v>98</v>
      </c>
      <c r="K273" s="8" t="s">
        <v>97</v>
      </c>
      <c r="L273" s="8" t="s">
        <v>97</v>
      </c>
      <c r="M273" s="8" t="s">
        <v>97</v>
      </c>
      <c r="N273" s="8" t="s">
        <v>98</v>
      </c>
      <c r="O273" s="8" t="s">
        <v>98</v>
      </c>
      <c r="P273" s="8" t="s">
        <v>98</v>
      </c>
      <c r="Q273" s="8" t="s">
        <v>98</v>
      </c>
      <c r="R273" s="8" t="s">
        <v>98</v>
      </c>
      <c r="S273" s="8" t="s">
        <v>98</v>
      </c>
    </row>
    <row r="274" spans="1:19" ht="15.75" x14ac:dyDescent="0.25">
      <c r="A274" s="6">
        <f>Questionnaire!A274</f>
        <v>272</v>
      </c>
      <c r="B274" s="8" t="s">
        <v>98</v>
      </c>
      <c r="C274" s="8" t="s">
        <v>97</v>
      </c>
      <c r="D274" s="8" t="s">
        <v>97</v>
      </c>
      <c r="E274" s="8" t="s">
        <v>98</v>
      </c>
      <c r="F274" s="8" t="s">
        <v>98</v>
      </c>
      <c r="G274" s="8" t="s">
        <v>98</v>
      </c>
      <c r="H274" s="8" t="s">
        <v>97</v>
      </c>
      <c r="I274" s="8" t="s">
        <v>98</v>
      </c>
      <c r="J274" s="8" t="s">
        <v>98</v>
      </c>
      <c r="K274" s="8" t="s">
        <v>98</v>
      </c>
      <c r="L274" s="8" t="s">
        <v>98</v>
      </c>
      <c r="M274" s="8" t="s">
        <v>98</v>
      </c>
      <c r="N274" s="8" t="s">
        <v>98</v>
      </c>
      <c r="O274" s="8" t="s">
        <v>98</v>
      </c>
      <c r="P274" s="8" t="s">
        <v>98</v>
      </c>
      <c r="Q274" s="8" t="s">
        <v>98</v>
      </c>
      <c r="R274" s="8" t="s">
        <v>98</v>
      </c>
      <c r="S274" s="8" t="s">
        <v>98</v>
      </c>
    </row>
    <row r="275" spans="1:19" ht="15.75" x14ac:dyDescent="0.25">
      <c r="A275" s="6">
        <f>Questionnaire!A275</f>
        <v>273</v>
      </c>
      <c r="B275" s="8" t="s">
        <v>98</v>
      </c>
      <c r="C275" s="8" t="s">
        <v>97</v>
      </c>
      <c r="D275" s="8" t="s">
        <v>98</v>
      </c>
      <c r="E275" s="8" t="s">
        <v>98</v>
      </c>
      <c r="F275" s="8" t="s">
        <v>98</v>
      </c>
      <c r="G275" s="8" t="s">
        <v>98</v>
      </c>
      <c r="H275" s="8" t="s">
        <v>97</v>
      </c>
      <c r="I275" s="8" t="s">
        <v>98</v>
      </c>
      <c r="J275" s="8" t="s">
        <v>98</v>
      </c>
      <c r="K275" s="8" t="s">
        <v>98</v>
      </c>
      <c r="L275" s="8" t="s">
        <v>98</v>
      </c>
      <c r="M275" s="8" t="s">
        <v>98</v>
      </c>
      <c r="N275" s="8" t="s">
        <v>98</v>
      </c>
      <c r="O275" s="8" t="s">
        <v>98</v>
      </c>
      <c r="P275" s="8" t="s">
        <v>98</v>
      </c>
      <c r="Q275" s="8" t="s">
        <v>98</v>
      </c>
      <c r="R275" s="8" t="s">
        <v>98</v>
      </c>
      <c r="S275" s="8" t="s">
        <v>97</v>
      </c>
    </row>
    <row r="276" spans="1:19" ht="15.75" x14ac:dyDescent="0.25">
      <c r="A276" s="6">
        <f>Questionnaire!A276</f>
        <v>274</v>
      </c>
      <c r="B276" s="8" t="s">
        <v>98</v>
      </c>
      <c r="C276" s="8" t="s">
        <v>97</v>
      </c>
      <c r="D276" s="8" t="s">
        <v>98</v>
      </c>
      <c r="E276" s="8" t="s">
        <v>98</v>
      </c>
      <c r="F276" s="8" t="s">
        <v>98</v>
      </c>
      <c r="G276" s="8" t="s">
        <v>98</v>
      </c>
      <c r="H276" s="8" t="s">
        <v>98</v>
      </c>
      <c r="I276" s="8" t="s">
        <v>97</v>
      </c>
      <c r="J276" s="8" t="s">
        <v>98</v>
      </c>
      <c r="K276" s="8" t="s">
        <v>98</v>
      </c>
      <c r="L276" s="8" t="s">
        <v>97</v>
      </c>
      <c r="M276" s="8" t="s">
        <v>98</v>
      </c>
      <c r="N276" s="8" t="s">
        <v>98</v>
      </c>
      <c r="O276" s="8" t="s">
        <v>98</v>
      </c>
      <c r="P276" s="8" t="s">
        <v>98</v>
      </c>
      <c r="Q276" s="8" t="s">
        <v>98</v>
      </c>
      <c r="R276" s="8" t="s">
        <v>98</v>
      </c>
      <c r="S276" s="8" t="s">
        <v>97</v>
      </c>
    </row>
    <row r="277" spans="1:19" ht="15.75" x14ac:dyDescent="0.25">
      <c r="A277" s="6">
        <f>Questionnaire!A277</f>
        <v>275</v>
      </c>
      <c r="B277" s="8" t="s">
        <v>98</v>
      </c>
      <c r="C277" s="8" t="s">
        <v>97</v>
      </c>
      <c r="D277" s="8" t="s">
        <v>98</v>
      </c>
      <c r="E277" s="8" t="s">
        <v>98</v>
      </c>
      <c r="F277" s="8" t="s">
        <v>98</v>
      </c>
      <c r="G277" s="8" t="s">
        <v>98</v>
      </c>
      <c r="H277" s="8" t="s">
        <v>98</v>
      </c>
      <c r="I277" s="8" t="s">
        <v>98</v>
      </c>
      <c r="J277" s="8" t="s">
        <v>98</v>
      </c>
      <c r="K277" s="8" t="s">
        <v>98</v>
      </c>
      <c r="L277" s="8" t="s">
        <v>98</v>
      </c>
      <c r="M277" s="8" t="s">
        <v>98</v>
      </c>
      <c r="N277" s="8" t="s">
        <v>98</v>
      </c>
      <c r="O277" s="8" t="s">
        <v>98</v>
      </c>
      <c r="P277" s="8" t="s">
        <v>98</v>
      </c>
      <c r="Q277" s="8" t="s">
        <v>98</v>
      </c>
      <c r="R277" s="8" t="s">
        <v>98</v>
      </c>
      <c r="S277" s="8" t="s">
        <v>98</v>
      </c>
    </row>
    <row r="278" spans="1:19" ht="15.75" x14ac:dyDescent="0.25">
      <c r="A278" s="6">
        <f>Questionnaire!A278</f>
        <v>276</v>
      </c>
      <c r="B278" s="8" t="s">
        <v>98</v>
      </c>
      <c r="C278" s="8" t="s">
        <v>97</v>
      </c>
      <c r="D278" s="8" t="s">
        <v>97</v>
      </c>
      <c r="E278" s="8" t="s">
        <v>98</v>
      </c>
      <c r="F278" s="8" t="s">
        <v>98</v>
      </c>
      <c r="G278" s="8" t="s">
        <v>98</v>
      </c>
      <c r="H278" s="8" t="s">
        <v>98</v>
      </c>
      <c r="I278" s="8" t="s">
        <v>98</v>
      </c>
      <c r="J278" s="8" t="s">
        <v>98</v>
      </c>
      <c r="K278" s="8" t="s">
        <v>98</v>
      </c>
      <c r="L278" s="8" t="s">
        <v>98</v>
      </c>
      <c r="M278" s="8" t="s">
        <v>98</v>
      </c>
      <c r="N278" s="8" t="s">
        <v>98</v>
      </c>
      <c r="O278" s="8" t="s">
        <v>98</v>
      </c>
      <c r="P278" s="8" t="s">
        <v>98</v>
      </c>
      <c r="Q278" s="8" t="s">
        <v>98</v>
      </c>
      <c r="R278" s="8" t="s">
        <v>98</v>
      </c>
      <c r="S278" s="8" t="s">
        <v>98</v>
      </c>
    </row>
    <row r="279" spans="1:19" ht="15.75" x14ac:dyDescent="0.25">
      <c r="A279" s="6">
        <f>Questionnaire!A279</f>
        <v>277</v>
      </c>
      <c r="B279" s="8" t="s">
        <v>98</v>
      </c>
      <c r="C279" s="8" t="s">
        <v>97</v>
      </c>
      <c r="D279" s="8" t="s">
        <v>98</v>
      </c>
      <c r="E279" s="8" t="s">
        <v>98</v>
      </c>
      <c r="F279" s="8" t="s">
        <v>98</v>
      </c>
      <c r="G279" s="8" t="s">
        <v>97</v>
      </c>
      <c r="H279" s="8" t="s">
        <v>98</v>
      </c>
      <c r="I279" s="8" t="s">
        <v>98</v>
      </c>
      <c r="J279" s="8" t="s">
        <v>98</v>
      </c>
      <c r="K279" s="8" t="s">
        <v>98</v>
      </c>
      <c r="L279" s="8" t="s">
        <v>98</v>
      </c>
      <c r="M279" s="8" t="s">
        <v>98</v>
      </c>
      <c r="N279" s="8" t="s">
        <v>98</v>
      </c>
      <c r="O279" s="8" t="s">
        <v>98</v>
      </c>
      <c r="P279" s="8" t="s">
        <v>98</v>
      </c>
      <c r="Q279" s="8" t="s">
        <v>98</v>
      </c>
      <c r="R279" s="8" t="s">
        <v>98</v>
      </c>
      <c r="S279" s="8" t="s">
        <v>98</v>
      </c>
    </row>
    <row r="280" spans="1:19" ht="15.75" x14ac:dyDescent="0.25">
      <c r="A280" s="6">
        <f>Questionnaire!A280</f>
        <v>278</v>
      </c>
      <c r="B280" s="8" t="s">
        <v>98</v>
      </c>
      <c r="C280" s="8" t="s">
        <v>98</v>
      </c>
      <c r="D280" s="8" t="s">
        <v>98</v>
      </c>
      <c r="E280" s="8" t="s">
        <v>98</v>
      </c>
      <c r="F280" s="8" t="s">
        <v>98</v>
      </c>
      <c r="G280" s="8" t="s">
        <v>97</v>
      </c>
      <c r="H280" s="8" t="s">
        <v>98</v>
      </c>
      <c r="I280" s="8" t="s">
        <v>98</v>
      </c>
      <c r="J280" s="8" t="s">
        <v>98</v>
      </c>
      <c r="K280" s="8" t="s">
        <v>98</v>
      </c>
      <c r="L280" s="8" t="s">
        <v>98</v>
      </c>
      <c r="M280" s="8" t="s">
        <v>98</v>
      </c>
      <c r="N280" s="8" t="s">
        <v>98</v>
      </c>
      <c r="O280" s="8" t="s">
        <v>98</v>
      </c>
      <c r="P280" s="8" t="s">
        <v>98</v>
      </c>
      <c r="Q280" s="8" t="s">
        <v>98</v>
      </c>
      <c r="R280" s="8" t="s">
        <v>98</v>
      </c>
      <c r="S280" s="8" t="s">
        <v>98</v>
      </c>
    </row>
    <row r="281" spans="1:19" ht="15.75" x14ac:dyDescent="0.25">
      <c r="A281" s="6">
        <f>Questionnaire!A281</f>
        <v>279</v>
      </c>
      <c r="B281" s="8" t="s">
        <v>98</v>
      </c>
      <c r="C281" s="8" t="s">
        <v>98</v>
      </c>
      <c r="D281" s="8" t="s">
        <v>98</v>
      </c>
      <c r="E281" s="8" t="s">
        <v>97</v>
      </c>
      <c r="F281" s="8" t="s">
        <v>98</v>
      </c>
      <c r="G281" s="8" t="s">
        <v>97</v>
      </c>
      <c r="H281" s="8" t="s">
        <v>97</v>
      </c>
      <c r="I281" s="8" t="s">
        <v>97</v>
      </c>
      <c r="J281" s="8" t="s">
        <v>98</v>
      </c>
      <c r="K281" s="8" t="s">
        <v>97</v>
      </c>
      <c r="L281" s="8" t="s">
        <v>97</v>
      </c>
      <c r="M281" s="8" t="s">
        <v>98</v>
      </c>
      <c r="N281" s="8" t="s">
        <v>98</v>
      </c>
      <c r="O281" s="8" t="s">
        <v>98</v>
      </c>
      <c r="P281" s="8" t="s">
        <v>98</v>
      </c>
      <c r="Q281" s="8" t="s">
        <v>98</v>
      </c>
      <c r="R281" s="8" t="s">
        <v>98</v>
      </c>
      <c r="S281" s="8" t="s">
        <v>98</v>
      </c>
    </row>
    <row r="282" spans="1:19" ht="15.75" x14ac:dyDescent="0.25">
      <c r="A282" s="6">
        <f>Questionnaire!A282</f>
        <v>280</v>
      </c>
      <c r="B282" s="8" t="s">
        <v>97</v>
      </c>
      <c r="C282" s="8" t="s">
        <v>98</v>
      </c>
      <c r="D282" s="8" t="s">
        <v>98</v>
      </c>
      <c r="E282" s="8" t="s">
        <v>98</v>
      </c>
      <c r="F282" s="8" t="s">
        <v>98</v>
      </c>
      <c r="G282" s="8" t="s">
        <v>98</v>
      </c>
      <c r="H282" s="8" t="s">
        <v>98</v>
      </c>
      <c r="I282" s="8" t="s">
        <v>98</v>
      </c>
      <c r="J282" s="8" t="s">
        <v>98</v>
      </c>
      <c r="K282" s="8" t="s">
        <v>98</v>
      </c>
      <c r="L282" s="8" t="s">
        <v>98</v>
      </c>
      <c r="M282" s="8" t="s">
        <v>98</v>
      </c>
      <c r="N282" s="8" t="s">
        <v>98</v>
      </c>
      <c r="O282" s="8" t="s">
        <v>98</v>
      </c>
      <c r="P282" s="8" t="s">
        <v>98</v>
      </c>
      <c r="Q282" s="8" t="s">
        <v>98</v>
      </c>
      <c r="R282" s="8" t="s">
        <v>98</v>
      </c>
      <c r="S282" s="8" t="s">
        <v>98</v>
      </c>
    </row>
    <row r="283" spans="1:19" ht="15.75" x14ac:dyDescent="0.25">
      <c r="A283" s="6">
        <f>Questionnaire!A283</f>
        <v>281</v>
      </c>
      <c r="B283" s="8" t="s">
        <v>98</v>
      </c>
      <c r="C283" s="8" t="s">
        <v>97</v>
      </c>
      <c r="D283" s="8" t="s">
        <v>98</v>
      </c>
      <c r="E283" s="8" t="s">
        <v>98</v>
      </c>
      <c r="F283" s="8" t="s">
        <v>98</v>
      </c>
      <c r="G283" s="8" t="s">
        <v>98</v>
      </c>
      <c r="H283" s="8" t="s">
        <v>97</v>
      </c>
      <c r="I283" s="8" t="s">
        <v>98</v>
      </c>
      <c r="J283" s="8" t="s">
        <v>98</v>
      </c>
      <c r="K283" s="8" t="s">
        <v>98</v>
      </c>
      <c r="L283" s="8" t="s">
        <v>97</v>
      </c>
      <c r="M283" s="8" t="s">
        <v>98</v>
      </c>
      <c r="N283" s="8" t="s">
        <v>98</v>
      </c>
      <c r="O283" s="8" t="s">
        <v>98</v>
      </c>
      <c r="P283" s="8" t="s">
        <v>98</v>
      </c>
      <c r="Q283" s="8" t="s">
        <v>98</v>
      </c>
      <c r="R283" s="8" t="s">
        <v>98</v>
      </c>
      <c r="S283" s="8" t="s">
        <v>98</v>
      </c>
    </row>
    <row r="284" spans="1:19" ht="15.75" x14ac:dyDescent="0.25">
      <c r="A284" s="6">
        <f>Questionnaire!A284</f>
        <v>282</v>
      </c>
      <c r="B284" s="8" t="s">
        <v>98</v>
      </c>
      <c r="C284" s="8" t="s">
        <v>97</v>
      </c>
      <c r="D284" s="8" t="s">
        <v>97</v>
      </c>
      <c r="E284" s="8" t="s">
        <v>98</v>
      </c>
      <c r="F284" s="8" t="s">
        <v>98</v>
      </c>
      <c r="G284" s="8" t="s">
        <v>98</v>
      </c>
      <c r="H284" s="8" t="s">
        <v>98</v>
      </c>
      <c r="I284" s="8" t="s">
        <v>98</v>
      </c>
      <c r="J284" s="8" t="s">
        <v>98</v>
      </c>
      <c r="K284" s="8" t="s">
        <v>98</v>
      </c>
      <c r="L284" s="8" t="s">
        <v>98</v>
      </c>
      <c r="M284" s="8" t="s">
        <v>98</v>
      </c>
      <c r="N284" s="8" t="s">
        <v>98</v>
      </c>
      <c r="O284" s="8" t="s">
        <v>98</v>
      </c>
      <c r="P284" s="8" t="s">
        <v>98</v>
      </c>
      <c r="Q284" s="8" t="s">
        <v>98</v>
      </c>
      <c r="R284" s="8" t="s">
        <v>98</v>
      </c>
      <c r="S284" s="8" t="s">
        <v>98</v>
      </c>
    </row>
    <row r="285" spans="1:19" ht="15.75" x14ac:dyDescent="0.25">
      <c r="A285" s="6">
        <f>Questionnaire!A285</f>
        <v>283</v>
      </c>
      <c r="B285" s="8" t="s">
        <v>98</v>
      </c>
      <c r="C285" s="8" t="s">
        <v>97</v>
      </c>
      <c r="D285" s="8" t="s">
        <v>97</v>
      </c>
      <c r="E285" s="8" t="s">
        <v>98</v>
      </c>
      <c r="F285" s="8" t="s">
        <v>98</v>
      </c>
      <c r="G285" s="8" t="s">
        <v>98</v>
      </c>
      <c r="H285" s="8" t="s">
        <v>98</v>
      </c>
      <c r="I285" s="8" t="s">
        <v>97</v>
      </c>
      <c r="J285" s="8" t="s">
        <v>98</v>
      </c>
      <c r="K285" s="8" t="s">
        <v>97</v>
      </c>
      <c r="L285" s="8" t="s">
        <v>98</v>
      </c>
      <c r="M285" s="8" t="s">
        <v>98</v>
      </c>
      <c r="N285" s="8" t="s">
        <v>98</v>
      </c>
      <c r="O285" s="8" t="s">
        <v>98</v>
      </c>
      <c r="P285" s="8" t="s">
        <v>98</v>
      </c>
      <c r="Q285" s="8" t="s">
        <v>98</v>
      </c>
      <c r="R285" s="8" t="s">
        <v>98</v>
      </c>
      <c r="S285" s="8" t="s">
        <v>98</v>
      </c>
    </row>
    <row r="286" spans="1:19" ht="15.75" x14ac:dyDescent="0.25">
      <c r="A286" s="6">
        <f>Questionnaire!A286</f>
        <v>284</v>
      </c>
      <c r="B286" s="8" t="s">
        <v>98</v>
      </c>
      <c r="C286" s="8" t="s">
        <v>97</v>
      </c>
      <c r="D286" s="8" t="s">
        <v>97</v>
      </c>
      <c r="E286" s="8" t="s">
        <v>98</v>
      </c>
      <c r="F286" s="8" t="s">
        <v>98</v>
      </c>
      <c r="G286" s="8" t="s">
        <v>98</v>
      </c>
      <c r="H286" s="8" t="s">
        <v>98</v>
      </c>
      <c r="I286" s="8" t="s">
        <v>98</v>
      </c>
      <c r="J286" s="8" t="s">
        <v>98</v>
      </c>
      <c r="K286" s="8" t="s">
        <v>98</v>
      </c>
      <c r="L286" s="8" t="s">
        <v>98</v>
      </c>
      <c r="M286" s="8" t="s">
        <v>98</v>
      </c>
      <c r="N286" s="8" t="s">
        <v>98</v>
      </c>
      <c r="O286" s="8" t="s">
        <v>98</v>
      </c>
      <c r="P286" s="8" t="s">
        <v>98</v>
      </c>
      <c r="Q286" s="8" t="s">
        <v>98</v>
      </c>
      <c r="R286" s="8" t="s">
        <v>98</v>
      </c>
      <c r="S286" s="8" t="s">
        <v>98</v>
      </c>
    </row>
    <row r="287" spans="1:19" ht="15.75" x14ac:dyDescent="0.25">
      <c r="A287" s="6">
        <f>Questionnaire!A287</f>
        <v>285</v>
      </c>
      <c r="B287" s="8" t="s">
        <v>98</v>
      </c>
      <c r="C287" s="8" t="s">
        <v>97</v>
      </c>
      <c r="D287" s="8" t="s">
        <v>98</v>
      </c>
      <c r="E287" s="8" t="s">
        <v>98</v>
      </c>
      <c r="F287" s="8" t="s">
        <v>98</v>
      </c>
      <c r="G287" s="7" t="s">
        <v>97</v>
      </c>
      <c r="H287" s="7" t="s">
        <v>97</v>
      </c>
      <c r="I287" s="8" t="s">
        <v>98</v>
      </c>
      <c r="J287" s="8" t="s">
        <v>98</v>
      </c>
      <c r="K287" s="7" t="s">
        <v>97</v>
      </c>
      <c r="L287" s="7" t="s">
        <v>97</v>
      </c>
      <c r="M287" s="8" t="s">
        <v>98</v>
      </c>
      <c r="N287" s="8" t="s">
        <v>98</v>
      </c>
      <c r="O287" s="8" t="s">
        <v>98</v>
      </c>
      <c r="P287" s="8" t="s">
        <v>98</v>
      </c>
      <c r="Q287" s="8" t="s">
        <v>98</v>
      </c>
      <c r="R287" s="8" t="s">
        <v>98</v>
      </c>
      <c r="S287" s="8" t="s">
        <v>98</v>
      </c>
    </row>
    <row r="288" spans="1:19" ht="15.75" x14ac:dyDescent="0.25">
      <c r="A288" s="6">
        <f>Questionnaire!A288</f>
        <v>286</v>
      </c>
      <c r="B288" s="8" t="s">
        <v>98</v>
      </c>
      <c r="C288" s="8" t="s">
        <v>97</v>
      </c>
      <c r="D288" s="8" t="s">
        <v>98</v>
      </c>
      <c r="E288" s="8" t="s">
        <v>98</v>
      </c>
      <c r="F288" s="8" t="s">
        <v>98</v>
      </c>
      <c r="G288" s="8" t="s">
        <v>98</v>
      </c>
      <c r="H288" s="7" t="s">
        <v>97</v>
      </c>
      <c r="I288" s="8" t="s">
        <v>98</v>
      </c>
      <c r="J288" s="7" t="s">
        <v>97</v>
      </c>
      <c r="K288" s="8" t="s">
        <v>98</v>
      </c>
      <c r="L288" s="7" t="s">
        <v>97</v>
      </c>
      <c r="M288" s="8" t="s">
        <v>98</v>
      </c>
      <c r="N288" s="8" t="s">
        <v>98</v>
      </c>
      <c r="O288" s="8" t="s">
        <v>98</v>
      </c>
      <c r="P288" s="8" t="s">
        <v>98</v>
      </c>
      <c r="Q288" s="8" t="s">
        <v>98</v>
      </c>
      <c r="R288" s="8" t="s">
        <v>98</v>
      </c>
      <c r="S288" s="8" t="s">
        <v>98</v>
      </c>
    </row>
    <row r="289" spans="1:19" ht="15.75" x14ac:dyDescent="0.25">
      <c r="A289" s="6">
        <f>Questionnaire!A289</f>
        <v>287</v>
      </c>
      <c r="B289" s="8" t="s">
        <v>98</v>
      </c>
      <c r="C289" s="8" t="s">
        <v>98</v>
      </c>
      <c r="D289" s="8" t="s">
        <v>98</v>
      </c>
      <c r="E289" s="8" t="s">
        <v>98</v>
      </c>
      <c r="F289" s="8" t="s">
        <v>98</v>
      </c>
      <c r="G289" s="7" t="s">
        <v>97</v>
      </c>
      <c r="H289" s="8" t="s">
        <v>98</v>
      </c>
      <c r="I289" s="8" t="s">
        <v>98</v>
      </c>
      <c r="J289" s="8" t="s">
        <v>98</v>
      </c>
      <c r="K289" s="8" t="s">
        <v>98</v>
      </c>
      <c r="L289" s="8" t="s">
        <v>98</v>
      </c>
      <c r="M289" s="8" t="s">
        <v>98</v>
      </c>
      <c r="N289" s="8" t="s">
        <v>98</v>
      </c>
      <c r="O289" s="8" t="s">
        <v>98</v>
      </c>
      <c r="P289" s="8" t="s">
        <v>98</v>
      </c>
      <c r="Q289" s="8" t="s">
        <v>98</v>
      </c>
      <c r="R289" s="8" t="s">
        <v>98</v>
      </c>
      <c r="S289" s="8" t="s">
        <v>98</v>
      </c>
    </row>
    <row r="290" spans="1:19" ht="15.75" x14ac:dyDescent="0.25">
      <c r="A290" s="6">
        <f>Questionnaire!A290</f>
        <v>288</v>
      </c>
      <c r="B290" s="8" t="s">
        <v>98</v>
      </c>
      <c r="C290" s="7" t="s">
        <v>97</v>
      </c>
      <c r="D290" s="7" t="s">
        <v>97</v>
      </c>
      <c r="E290" s="8" t="s">
        <v>98</v>
      </c>
      <c r="F290" s="8" t="s">
        <v>98</v>
      </c>
      <c r="G290" s="8" t="s">
        <v>98</v>
      </c>
      <c r="H290" s="7" t="s">
        <v>97</v>
      </c>
      <c r="I290" s="8" t="s">
        <v>98</v>
      </c>
      <c r="J290" s="7" t="s">
        <v>97</v>
      </c>
      <c r="K290" s="8" t="s">
        <v>98</v>
      </c>
      <c r="L290" s="7" t="s">
        <v>97</v>
      </c>
      <c r="M290" s="8" t="s">
        <v>98</v>
      </c>
      <c r="N290" s="8" t="s">
        <v>98</v>
      </c>
      <c r="O290" s="8" t="s">
        <v>98</v>
      </c>
      <c r="P290" s="8" t="s">
        <v>98</v>
      </c>
      <c r="Q290" s="8" t="s">
        <v>98</v>
      </c>
      <c r="R290" s="8" t="s">
        <v>98</v>
      </c>
      <c r="S290" s="8" t="s">
        <v>98</v>
      </c>
    </row>
    <row r="291" spans="1:19" ht="15.75" x14ac:dyDescent="0.25">
      <c r="A291" s="6">
        <f>Questionnaire!A291</f>
        <v>289</v>
      </c>
      <c r="B291" s="8" t="s">
        <v>98</v>
      </c>
      <c r="C291" s="7" t="s">
        <v>97</v>
      </c>
      <c r="D291" s="8" t="s">
        <v>98</v>
      </c>
      <c r="E291" s="8" t="s">
        <v>98</v>
      </c>
      <c r="F291" s="8" t="s">
        <v>98</v>
      </c>
      <c r="G291" s="8" t="s">
        <v>98</v>
      </c>
      <c r="H291" s="8" t="s">
        <v>98</v>
      </c>
      <c r="I291" s="8" t="s">
        <v>98</v>
      </c>
      <c r="J291" s="7" t="s">
        <v>97</v>
      </c>
      <c r="K291" s="7" t="s">
        <v>97</v>
      </c>
      <c r="L291" s="7" t="s">
        <v>97</v>
      </c>
      <c r="M291" s="8" t="s">
        <v>98</v>
      </c>
      <c r="N291" s="8" t="s">
        <v>98</v>
      </c>
      <c r="O291" s="8" t="s">
        <v>98</v>
      </c>
      <c r="P291" s="8" t="s">
        <v>98</v>
      </c>
      <c r="Q291" s="8" t="s">
        <v>98</v>
      </c>
      <c r="R291" s="8" t="s">
        <v>98</v>
      </c>
      <c r="S291" s="7" t="s">
        <v>97</v>
      </c>
    </row>
    <row r="292" spans="1:19" ht="15.75" x14ac:dyDescent="0.25">
      <c r="A292" s="6">
        <f>Questionnaire!A292</f>
        <v>290</v>
      </c>
      <c r="B292" s="8" t="s">
        <v>98</v>
      </c>
      <c r="C292" s="8" t="s">
        <v>98</v>
      </c>
      <c r="D292" s="8" t="s">
        <v>98</v>
      </c>
      <c r="E292" s="8" t="s">
        <v>98</v>
      </c>
      <c r="F292" s="8" t="s">
        <v>98</v>
      </c>
      <c r="G292" s="7" t="s">
        <v>97</v>
      </c>
      <c r="H292" s="7" t="s">
        <v>97</v>
      </c>
      <c r="I292" s="8" t="s">
        <v>98</v>
      </c>
      <c r="J292" s="8" t="s">
        <v>98</v>
      </c>
      <c r="K292" s="8" t="s">
        <v>98</v>
      </c>
      <c r="L292" s="8" t="s">
        <v>98</v>
      </c>
      <c r="M292" s="8" t="s">
        <v>98</v>
      </c>
      <c r="N292" s="8" t="s">
        <v>98</v>
      </c>
      <c r="O292" s="8" t="s">
        <v>98</v>
      </c>
      <c r="P292" s="8" t="s">
        <v>98</v>
      </c>
      <c r="Q292" s="8" t="s">
        <v>98</v>
      </c>
      <c r="R292" s="8" t="s">
        <v>98</v>
      </c>
      <c r="S292" s="8" t="s">
        <v>98</v>
      </c>
    </row>
    <row r="293" spans="1:19" ht="15.75" x14ac:dyDescent="0.25">
      <c r="A293" s="6">
        <f>Questionnaire!A293</f>
        <v>291</v>
      </c>
      <c r="B293" s="8" t="s">
        <v>98</v>
      </c>
      <c r="C293" s="8" t="s">
        <v>98</v>
      </c>
      <c r="D293" s="8" t="s">
        <v>98</v>
      </c>
      <c r="E293" s="8" t="s">
        <v>98</v>
      </c>
      <c r="F293" s="8" t="s">
        <v>98</v>
      </c>
      <c r="G293" s="7" t="s">
        <v>97</v>
      </c>
      <c r="H293" s="8" t="s">
        <v>98</v>
      </c>
      <c r="I293" s="8" t="s">
        <v>98</v>
      </c>
      <c r="J293" s="8" t="s">
        <v>98</v>
      </c>
      <c r="K293" s="8" t="s">
        <v>98</v>
      </c>
      <c r="L293" s="8" t="s">
        <v>98</v>
      </c>
      <c r="M293" s="8" t="s">
        <v>98</v>
      </c>
      <c r="N293" s="8" t="s">
        <v>98</v>
      </c>
      <c r="O293" s="8" t="s">
        <v>98</v>
      </c>
      <c r="P293" s="8" t="s">
        <v>98</v>
      </c>
      <c r="Q293" s="8" t="s">
        <v>98</v>
      </c>
      <c r="R293" s="8" t="s">
        <v>98</v>
      </c>
      <c r="S293" s="8" t="s">
        <v>98</v>
      </c>
    </row>
    <row r="294" spans="1:19" ht="15.75" x14ac:dyDescent="0.25">
      <c r="A294" s="6">
        <f>Questionnaire!A294</f>
        <v>292</v>
      </c>
      <c r="B294" s="8" t="s">
        <v>98</v>
      </c>
      <c r="C294" s="7" t="s">
        <v>97</v>
      </c>
      <c r="D294" s="8" t="s">
        <v>98</v>
      </c>
      <c r="E294" s="8" t="s">
        <v>98</v>
      </c>
      <c r="F294" s="8" t="s">
        <v>98</v>
      </c>
      <c r="G294" s="7" t="s">
        <v>97</v>
      </c>
      <c r="H294" s="8" t="s">
        <v>98</v>
      </c>
      <c r="I294" s="7" t="s">
        <v>97</v>
      </c>
      <c r="J294" s="8" t="s">
        <v>98</v>
      </c>
      <c r="K294" s="8" t="s">
        <v>98</v>
      </c>
      <c r="L294" s="8" t="s">
        <v>98</v>
      </c>
      <c r="M294" s="8" t="s">
        <v>98</v>
      </c>
      <c r="N294" s="8" t="s">
        <v>98</v>
      </c>
      <c r="O294" s="8" t="s">
        <v>98</v>
      </c>
      <c r="P294" s="8" t="s">
        <v>98</v>
      </c>
      <c r="Q294" s="8" t="s">
        <v>98</v>
      </c>
      <c r="R294" s="8" t="s">
        <v>98</v>
      </c>
      <c r="S294" s="7" t="s">
        <v>97</v>
      </c>
    </row>
    <row r="295" spans="1:19" ht="15.75" x14ac:dyDescent="0.25">
      <c r="A295" s="6">
        <f>Questionnaire!A295</f>
        <v>293</v>
      </c>
      <c r="B295" s="8" t="s">
        <v>98</v>
      </c>
      <c r="C295" s="8" t="s">
        <v>98</v>
      </c>
      <c r="D295" s="8" t="s">
        <v>98</v>
      </c>
      <c r="E295" s="8" t="s">
        <v>98</v>
      </c>
      <c r="F295" s="8" t="s">
        <v>98</v>
      </c>
      <c r="G295" s="7" t="s">
        <v>97</v>
      </c>
      <c r="H295" s="8" t="s">
        <v>98</v>
      </c>
      <c r="I295" s="8" t="s">
        <v>98</v>
      </c>
      <c r="J295" s="8" t="s">
        <v>98</v>
      </c>
      <c r="K295" s="8" t="s">
        <v>98</v>
      </c>
      <c r="L295" s="8" t="s">
        <v>98</v>
      </c>
      <c r="M295" s="8" t="s">
        <v>98</v>
      </c>
      <c r="N295" s="8" t="s">
        <v>98</v>
      </c>
      <c r="O295" s="8" t="s">
        <v>98</v>
      </c>
      <c r="P295" s="8" t="s">
        <v>98</v>
      </c>
      <c r="Q295" s="8" t="s">
        <v>98</v>
      </c>
      <c r="R295" s="8" t="s">
        <v>98</v>
      </c>
      <c r="S295" s="8" t="s">
        <v>98</v>
      </c>
    </row>
    <row r="296" spans="1:19" ht="15.75" x14ac:dyDescent="0.25">
      <c r="A296" s="6">
        <f>Questionnaire!A296</f>
        <v>294</v>
      </c>
      <c r="B296" s="8" t="s">
        <v>98</v>
      </c>
      <c r="C296" s="7" t="s">
        <v>97</v>
      </c>
      <c r="D296" s="7" t="s">
        <v>97</v>
      </c>
      <c r="E296" s="8" t="s">
        <v>98</v>
      </c>
      <c r="F296" s="8" t="s">
        <v>98</v>
      </c>
      <c r="G296" s="8" t="s">
        <v>98</v>
      </c>
      <c r="H296" s="8" t="s">
        <v>98</v>
      </c>
      <c r="I296" s="7" t="s">
        <v>97</v>
      </c>
      <c r="J296" s="7" t="s">
        <v>97</v>
      </c>
      <c r="K296" s="7" t="s">
        <v>97</v>
      </c>
      <c r="L296" s="8" t="s">
        <v>98</v>
      </c>
      <c r="M296" s="8" t="s">
        <v>98</v>
      </c>
      <c r="N296" s="8" t="s">
        <v>98</v>
      </c>
      <c r="O296" s="8" t="s">
        <v>98</v>
      </c>
      <c r="P296" s="8" t="s">
        <v>98</v>
      </c>
      <c r="Q296" s="8" t="s">
        <v>98</v>
      </c>
      <c r="R296" s="8" t="s">
        <v>98</v>
      </c>
      <c r="S296" s="8" t="s">
        <v>98</v>
      </c>
    </row>
    <row r="297" spans="1:19" ht="15.75" x14ac:dyDescent="0.25">
      <c r="A297" s="6">
        <f>Questionnaire!A297</f>
        <v>295</v>
      </c>
      <c r="B297" s="8" t="s">
        <v>98</v>
      </c>
      <c r="C297" s="7" t="s">
        <v>97</v>
      </c>
      <c r="D297" s="7" t="s">
        <v>97</v>
      </c>
      <c r="E297" s="8" t="s">
        <v>98</v>
      </c>
      <c r="F297" s="8" t="s">
        <v>98</v>
      </c>
      <c r="G297" s="8" t="s">
        <v>98</v>
      </c>
      <c r="H297" s="8" t="s">
        <v>98</v>
      </c>
      <c r="I297" s="7" t="s">
        <v>97</v>
      </c>
      <c r="J297" s="8" t="s">
        <v>98</v>
      </c>
      <c r="K297" s="7" t="s">
        <v>97</v>
      </c>
      <c r="L297" s="7" t="s">
        <v>97</v>
      </c>
      <c r="M297" s="8" t="s">
        <v>98</v>
      </c>
      <c r="N297" s="8" t="s">
        <v>98</v>
      </c>
      <c r="O297" s="8" t="s">
        <v>98</v>
      </c>
      <c r="P297" s="8" t="s">
        <v>98</v>
      </c>
      <c r="Q297" s="8" t="s">
        <v>98</v>
      </c>
      <c r="R297" s="8" t="s">
        <v>98</v>
      </c>
      <c r="S297" s="7" t="s">
        <v>97</v>
      </c>
    </row>
    <row r="298" spans="1:19" ht="15.75" x14ac:dyDescent="0.25">
      <c r="A298" s="6">
        <f>Questionnaire!A298</f>
        <v>296</v>
      </c>
      <c r="B298" s="8" t="s">
        <v>98</v>
      </c>
      <c r="C298" s="7" t="s">
        <v>97</v>
      </c>
      <c r="D298" s="8" t="s">
        <v>98</v>
      </c>
      <c r="E298" s="8" t="s">
        <v>98</v>
      </c>
      <c r="F298" s="8" t="s">
        <v>98</v>
      </c>
      <c r="G298" s="7" t="s">
        <v>97</v>
      </c>
      <c r="H298" s="7" t="s">
        <v>97</v>
      </c>
      <c r="I298" s="8" t="s">
        <v>98</v>
      </c>
      <c r="J298" s="8" t="s">
        <v>98</v>
      </c>
      <c r="K298" s="7" t="s">
        <v>97</v>
      </c>
      <c r="L298" s="8" t="s">
        <v>98</v>
      </c>
      <c r="M298" s="8" t="s">
        <v>98</v>
      </c>
      <c r="N298" s="8" t="s">
        <v>98</v>
      </c>
      <c r="O298" s="8" t="s">
        <v>98</v>
      </c>
      <c r="P298" s="8" t="s">
        <v>98</v>
      </c>
      <c r="Q298" s="8" t="s">
        <v>98</v>
      </c>
      <c r="R298" s="8" t="s">
        <v>98</v>
      </c>
      <c r="S298" s="8" t="s">
        <v>98</v>
      </c>
    </row>
    <row r="299" spans="1:19" ht="15.75" x14ac:dyDescent="0.25">
      <c r="A299" s="6">
        <f>Questionnaire!A299</f>
        <v>297</v>
      </c>
      <c r="B299" s="8" t="s">
        <v>98</v>
      </c>
      <c r="C299" s="7" t="s">
        <v>97</v>
      </c>
      <c r="D299" s="7" t="s">
        <v>97</v>
      </c>
      <c r="E299" s="8" t="s">
        <v>98</v>
      </c>
      <c r="F299" s="8" t="s">
        <v>98</v>
      </c>
      <c r="G299" s="8" t="s">
        <v>98</v>
      </c>
      <c r="H299" s="8"/>
      <c r="I299" s="7" t="s">
        <v>97</v>
      </c>
      <c r="J299" s="8" t="s">
        <v>98</v>
      </c>
      <c r="K299" s="8" t="s">
        <v>98</v>
      </c>
      <c r="L299" s="8" t="s">
        <v>98</v>
      </c>
      <c r="M299" s="8" t="s">
        <v>98</v>
      </c>
      <c r="N299" s="8" t="s">
        <v>98</v>
      </c>
      <c r="O299" s="8" t="s">
        <v>98</v>
      </c>
      <c r="P299" s="8" t="s">
        <v>98</v>
      </c>
      <c r="Q299" s="8" t="s">
        <v>98</v>
      </c>
      <c r="R299" s="8" t="s">
        <v>98</v>
      </c>
      <c r="S299" s="8" t="s">
        <v>98</v>
      </c>
    </row>
    <row r="300" spans="1:19" ht="15.75" x14ac:dyDescent="0.25">
      <c r="A300" s="6">
        <f>Questionnaire!A300</f>
        <v>298</v>
      </c>
      <c r="B300" s="8" t="s">
        <v>98</v>
      </c>
      <c r="C300" s="7" t="s">
        <v>97</v>
      </c>
      <c r="D300" s="7" t="s">
        <v>97</v>
      </c>
      <c r="E300" s="8" t="s">
        <v>98</v>
      </c>
      <c r="F300" s="8" t="s">
        <v>98</v>
      </c>
      <c r="G300" s="8" t="s">
        <v>98</v>
      </c>
      <c r="H300" s="7" t="s">
        <v>97</v>
      </c>
      <c r="I300" s="8" t="s">
        <v>98</v>
      </c>
      <c r="J300" s="8" t="s">
        <v>98</v>
      </c>
      <c r="K300" s="8" t="s">
        <v>98</v>
      </c>
      <c r="L300" s="8" t="s">
        <v>98</v>
      </c>
      <c r="M300" s="8" t="s">
        <v>98</v>
      </c>
      <c r="N300" s="8" t="s">
        <v>98</v>
      </c>
      <c r="O300" s="8" t="s">
        <v>98</v>
      </c>
      <c r="P300" s="8" t="s">
        <v>98</v>
      </c>
      <c r="Q300" s="8" t="s">
        <v>98</v>
      </c>
      <c r="R300" s="8" t="s">
        <v>98</v>
      </c>
      <c r="S300" s="8" t="s">
        <v>98</v>
      </c>
    </row>
    <row r="301" spans="1:19" ht="15.75" x14ac:dyDescent="0.25">
      <c r="A301" s="6">
        <f>Questionnaire!A301</f>
        <v>299</v>
      </c>
      <c r="B301" s="8" t="s">
        <v>98</v>
      </c>
      <c r="C301" s="7" t="s">
        <v>97</v>
      </c>
      <c r="D301" s="8" t="s">
        <v>98</v>
      </c>
      <c r="E301" s="8" t="s">
        <v>98</v>
      </c>
      <c r="F301" s="8" t="s">
        <v>98</v>
      </c>
      <c r="G301" s="8" t="s">
        <v>98</v>
      </c>
      <c r="H301" s="7" t="s">
        <v>97</v>
      </c>
      <c r="I301" s="8" t="s">
        <v>98</v>
      </c>
      <c r="J301" s="7" t="s">
        <v>97</v>
      </c>
      <c r="K301" s="8" t="s">
        <v>98</v>
      </c>
      <c r="L301" s="8" t="s">
        <v>98</v>
      </c>
      <c r="M301" s="7" t="s">
        <v>97</v>
      </c>
      <c r="N301" s="7" t="s">
        <v>97</v>
      </c>
      <c r="O301" s="8" t="s">
        <v>98</v>
      </c>
      <c r="P301" s="8" t="s">
        <v>98</v>
      </c>
      <c r="Q301" s="7" t="s">
        <v>97</v>
      </c>
      <c r="R301" s="8" t="s">
        <v>98</v>
      </c>
      <c r="S301" s="7" t="s">
        <v>97</v>
      </c>
    </row>
    <row r="302" spans="1:19" ht="15.75" x14ac:dyDescent="0.25">
      <c r="A302" s="6">
        <f>Questionnaire!A302</f>
        <v>300</v>
      </c>
      <c r="B302" s="8" t="s">
        <v>98</v>
      </c>
      <c r="C302" s="8" t="s">
        <v>98</v>
      </c>
      <c r="D302" s="7" t="s">
        <v>97</v>
      </c>
      <c r="E302" s="7" t="s">
        <v>97</v>
      </c>
      <c r="F302" s="8" t="s">
        <v>98</v>
      </c>
      <c r="G302" s="8" t="s">
        <v>98</v>
      </c>
      <c r="H302" s="8" t="s">
        <v>98</v>
      </c>
      <c r="I302" s="8" t="s">
        <v>98</v>
      </c>
      <c r="J302" s="8" t="s">
        <v>98</v>
      </c>
      <c r="K302" s="8" t="s">
        <v>98</v>
      </c>
      <c r="L302" s="7" t="s">
        <v>97</v>
      </c>
      <c r="M302" s="8" t="s">
        <v>98</v>
      </c>
      <c r="N302" s="8" t="s">
        <v>98</v>
      </c>
      <c r="O302" s="8" t="s">
        <v>98</v>
      </c>
      <c r="P302" s="8" t="s">
        <v>98</v>
      </c>
      <c r="Q302" s="8" t="s">
        <v>98</v>
      </c>
      <c r="R302" s="8" t="s">
        <v>98</v>
      </c>
      <c r="S302" s="7" t="s">
        <v>97</v>
      </c>
    </row>
    <row r="303" spans="1:19" ht="15.75" x14ac:dyDescent="0.25">
      <c r="A303" s="6">
        <f>Questionnaire!A303</f>
        <v>301</v>
      </c>
      <c r="B303" s="8" t="s">
        <v>98</v>
      </c>
      <c r="C303" s="8" t="s">
        <v>98</v>
      </c>
      <c r="D303" s="8" t="s">
        <v>98</v>
      </c>
      <c r="E303" s="8" t="s">
        <v>98</v>
      </c>
      <c r="F303" s="8" t="s">
        <v>98</v>
      </c>
      <c r="G303" s="7" t="s">
        <v>97</v>
      </c>
      <c r="H303" s="7" t="s">
        <v>97</v>
      </c>
      <c r="I303" s="8" t="s">
        <v>98</v>
      </c>
      <c r="J303" s="7" t="s">
        <v>97</v>
      </c>
      <c r="K303" s="8" t="s">
        <v>98</v>
      </c>
      <c r="L303" s="8" t="s">
        <v>98</v>
      </c>
      <c r="M303" s="8" t="s">
        <v>98</v>
      </c>
      <c r="N303" s="8" t="s">
        <v>98</v>
      </c>
      <c r="O303" s="8" t="s">
        <v>98</v>
      </c>
      <c r="P303" s="8" t="s">
        <v>98</v>
      </c>
      <c r="Q303" s="8" t="s">
        <v>98</v>
      </c>
      <c r="R303" s="8" t="s">
        <v>98</v>
      </c>
      <c r="S303" s="8" t="s">
        <v>98</v>
      </c>
    </row>
    <row r="304" spans="1:19" ht="15.75" x14ac:dyDescent="0.25">
      <c r="A304" s="6">
        <f>Questionnaire!A304</f>
        <v>302</v>
      </c>
      <c r="B304" s="8" t="s">
        <v>98</v>
      </c>
      <c r="C304" s="7" t="s">
        <v>97</v>
      </c>
      <c r="D304" s="7" t="s">
        <v>97</v>
      </c>
      <c r="E304" s="8" t="s">
        <v>98</v>
      </c>
      <c r="F304" s="8" t="s">
        <v>98</v>
      </c>
      <c r="G304" s="8" t="s">
        <v>98</v>
      </c>
      <c r="H304" s="8" t="s">
        <v>98</v>
      </c>
      <c r="I304" s="8" t="s">
        <v>98</v>
      </c>
      <c r="J304" s="8" t="s">
        <v>98</v>
      </c>
      <c r="K304" s="8" t="s">
        <v>98</v>
      </c>
      <c r="L304" s="8" t="s">
        <v>98</v>
      </c>
      <c r="M304" s="8" t="s">
        <v>98</v>
      </c>
      <c r="N304" s="8" t="s">
        <v>98</v>
      </c>
      <c r="O304" s="8" t="s">
        <v>98</v>
      </c>
      <c r="P304" s="8" t="s">
        <v>98</v>
      </c>
      <c r="Q304" s="8" t="s">
        <v>98</v>
      </c>
      <c r="R304" s="8" t="s">
        <v>98</v>
      </c>
      <c r="S304" s="8" t="s">
        <v>98</v>
      </c>
    </row>
    <row r="305" spans="1:19" ht="15.75" x14ac:dyDescent="0.25">
      <c r="A305" s="6">
        <f>Questionnaire!A305</f>
        <v>303</v>
      </c>
      <c r="B305" s="8" t="s">
        <v>98</v>
      </c>
      <c r="C305" s="8" t="s">
        <v>97</v>
      </c>
      <c r="D305" s="8" t="s">
        <v>98</v>
      </c>
      <c r="E305" s="8" t="s">
        <v>98</v>
      </c>
      <c r="F305" s="8" t="s">
        <v>98</v>
      </c>
      <c r="G305" s="8" t="s">
        <v>98</v>
      </c>
      <c r="H305" s="8" t="s">
        <v>97</v>
      </c>
      <c r="I305" s="8" t="s">
        <v>98</v>
      </c>
      <c r="J305" s="8" t="s">
        <v>97</v>
      </c>
      <c r="K305" s="8" t="s">
        <v>98</v>
      </c>
      <c r="L305" s="8" t="s">
        <v>98</v>
      </c>
      <c r="M305" s="8" t="s">
        <v>98</v>
      </c>
      <c r="N305" s="8" t="s">
        <v>98</v>
      </c>
      <c r="O305" s="8" t="s">
        <v>98</v>
      </c>
      <c r="P305" s="8" t="s">
        <v>98</v>
      </c>
      <c r="Q305" s="8" t="s">
        <v>98</v>
      </c>
      <c r="R305" s="8" t="s">
        <v>98</v>
      </c>
      <c r="S305" s="8" t="s">
        <v>98</v>
      </c>
    </row>
    <row r="306" spans="1:19" ht="15.75" x14ac:dyDescent="0.25">
      <c r="A306" s="6">
        <f>Questionnaire!A306</f>
        <v>304</v>
      </c>
      <c r="B306" s="8" t="s">
        <v>98</v>
      </c>
      <c r="C306" s="8" t="s">
        <v>98</v>
      </c>
      <c r="D306" s="8" t="s">
        <v>98</v>
      </c>
      <c r="E306" s="8" t="s">
        <v>98</v>
      </c>
      <c r="F306" s="8" t="s">
        <v>98</v>
      </c>
      <c r="G306" s="7" t="s">
        <v>97</v>
      </c>
      <c r="H306" s="8" t="s">
        <v>98</v>
      </c>
      <c r="I306" s="8" t="s">
        <v>98</v>
      </c>
      <c r="J306" s="8" t="s">
        <v>98</v>
      </c>
      <c r="K306" s="8" t="s">
        <v>98</v>
      </c>
      <c r="L306" s="8" t="s">
        <v>98</v>
      </c>
      <c r="M306" s="8" t="s">
        <v>98</v>
      </c>
      <c r="N306" s="8" t="s">
        <v>98</v>
      </c>
      <c r="O306" s="8" t="s">
        <v>98</v>
      </c>
      <c r="P306" s="8" t="s">
        <v>98</v>
      </c>
      <c r="Q306" s="8" t="s">
        <v>98</v>
      </c>
      <c r="R306" s="8" t="s">
        <v>98</v>
      </c>
      <c r="S306" s="8" t="s">
        <v>98</v>
      </c>
    </row>
    <row r="307" spans="1:19" ht="15.75" x14ac:dyDescent="0.25">
      <c r="A307" s="6">
        <f>Questionnaire!A307</f>
        <v>305</v>
      </c>
      <c r="B307" s="8" t="s">
        <v>98</v>
      </c>
      <c r="C307" s="7" t="s">
        <v>97</v>
      </c>
      <c r="D307" s="7" t="s">
        <v>97</v>
      </c>
      <c r="E307" s="8" t="s">
        <v>98</v>
      </c>
      <c r="F307" s="8" t="s">
        <v>98</v>
      </c>
      <c r="G307" s="8" t="s">
        <v>98</v>
      </c>
      <c r="H307" s="8" t="s">
        <v>98</v>
      </c>
      <c r="I307" s="7" t="s">
        <v>97</v>
      </c>
      <c r="J307" s="8" t="s">
        <v>98</v>
      </c>
      <c r="K307" s="7" t="s">
        <v>97</v>
      </c>
      <c r="L307" s="7" t="s">
        <v>97</v>
      </c>
      <c r="M307" s="8" t="s">
        <v>98</v>
      </c>
      <c r="N307" s="8" t="s">
        <v>98</v>
      </c>
      <c r="O307" s="8" t="s">
        <v>98</v>
      </c>
      <c r="P307" s="8" t="s">
        <v>98</v>
      </c>
      <c r="Q307" s="8" t="s">
        <v>98</v>
      </c>
      <c r="R307" s="8" t="s">
        <v>98</v>
      </c>
      <c r="S307" s="8" t="s">
        <v>98</v>
      </c>
    </row>
    <row r="308" spans="1:19" ht="15.75" x14ac:dyDescent="0.25">
      <c r="A308" s="6">
        <f>Questionnaire!A308</f>
        <v>306</v>
      </c>
      <c r="B308" s="8" t="s">
        <v>98</v>
      </c>
      <c r="C308" s="8" t="s">
        <v>98</v>
      </c>
      <c r="D308" s="8" t="s">
        <v>98</v>
      </c>
      <c r="E308" s="8" t="s">
        <v>98</v>
      </c>
      <c r="F308" s="8" t="s">
        <v>98</v>
      </c>
      <c r="G308" s="7" t="s">
        <v>97</v>
      </c>
      <c r="H308" s="8" t="s">
        <v>98</v>
      </c>
      <c r="I308" s="7" t="s">
        <v>97</v>
      </c>
      <c r="J308" s="7" t="s">
        <v>97</v>
      </c>
      <c r="K308" s="8" t="s">
        <v>98</v>
      </c>
      <c r="L308" s="7" t="s">
        <v>97</v>
      </c>
      <c r="M308" s="8" t="s">
        <v>98</v>
      </c>
      <c r="N308" s="8" t="s">
        <v>98</v>
      </c>
      <c r="O308" s="8" t="s">
        <v>98</v>
      </c>
      <c r="P308" s="8" t="s">
        <v>98</v>
      </c>
      <c r="Q308" s="8" t="s">
        <v>98</v>
      </c>
      <c r="R308" s="8" t="s">
        <v>98</v>
      </c>
      <c r="S308" s="8" t="s">
        <v>98</v>
      </c>
    </row>
    <row r="309" spans="1:19" ht="15.75" x14ac:dyDescent="0.25">
      <c r="A309" s="6">
        <f>Questionnaire!A309</f>
        <v>307</v>
      </c>
      <c r="B309" s="8" t="s">
        <v>98</v>
      </c>
      <c r="C309" s="7" t="s">
        <v>97</v>
      </c>
      <c r="D309" s="8" t="s">
        <v>98</v>
      </c>
      <c r="E309" s="8" t="s">
        <v>98</v>
      </c>
      <c r="F309" s="8" t="s">
        <v>98</v>
      </c>
      <c r="G309" s="7" t="s">
        <v>97</v>
      </c>
      <c r="H309" s="7" t="s">
        <v>97</v>
      </c>
      <c r="I309" s="8" t="s">
        <v>98</v>
      </c>
      <c r="J309" s="8" t="s">
        <v>98</v>
      </c>
      <c r="K309" s="8" t="s">
        <v>98</v>
      </c>
      <c r="L309" s="8"/>
      <c r="M309" s="8" t="s">
        <v>98</v>
      </c>
      <c r="N309" s="8" t="s">
        <v>98</v>
      </c>
      <c r="O309" s="8" t="s">
        <v>98</v>
      </c>
      <c r="P309" s="8" t="s">
        <v>98</v>
      </c>
      <c r="Q309" s="8" t="s">
        <v>98</v>
      </c>
      <c r="R309" s="8" t="s">
        <v>98</v>
      </c>
      <c r="S309" s="8" t="s">
        <v>98</v>
      </c>
    </row>
    <row r="310" spans="1:19" ht="15.75" x14ac:dyDescent="0.25">
      <c r="A310" s="6">
        <f>Questionnaire!A310</f>
        <v>308</v>
      </c>
      <c r="B310" s="8" t="s">
        <v>98</v>
      </c>
      <c r="C310" s="7" t="s">
        <v>97</v>
      </c>
      <c r="D310" s="7" t="s">
        <v>97</v>
      </c>
      <c r="E310" s="8" t="s">
        <v>98</v>
      </c>
      <c r="F310" s="8" t="s">
        <v>98</v>
      </c>
      <c r="G310" s="8" t="s">
        <v>98</v>
      </c>
      <c r="H310" s="7" t="s">
        <v>97</v>
      </c>
      <c r="I310" s="8" t="s">
        <v>98</v>
      </c>
      <c r="J310" s="8" t="s">
        <v>98</v>
      </c>
      <c r="K310" s="8" t="s">
        <v>98</v>
      </c>
      <c r="L310" s="7" t="s">
        <v>97</v>
      </c>
      <c r="M310" s="8" t="s">
        <v>98</v>
      </c>
      <c r="N310" s="8" t="s">
        <v>98</v>
      </c>
      <c r="O310" s="8" t="s">
        <v>98</v>
      </c>
      <c r="P310" s="8" t="s">
        <v>98</v>
      </c>
      <c r="Q310" s="8" t="s">
        <v>98</v>
      </c>
      <c r="R310" s="8" t="s">
        <v>98</v>
      </c>
      <c r="S310" s="7" t="s">
        <v>97</v>
      </c>
    </row>
    <row r="311" spans="1:19" ht="15.75" x14ac:dyDescent="0.25">
      <c r="A311" s="6">
        <f>Questionnaire!A311</f>
        <v>309</v>
      </c>
      <c r="B311" s="8" t="s">
        <v>98</v>
      </c>
      <c r="C311" s="8" t="s">
        <v>98</v>
      </c>
      <c r="D311" s="8" t="s">
        <v>98</v>
      </c>
      <c r="E311" s="8" t="s">
        <v>98</v>
      </c>
      <c r="F311" s="8" t="s">
        <v>98</v>
      </c>
      <c r="G311" s="7" t="s">
        <v>97</v>
      </c>
      <c r="H311" s="7" t="s">
        <v>97</v>
      </c>
      <c r="I311" s="8" t="s">
        <v>98</v>
      </c>
      <c r="J311" s="8" t="s">
        <v>98</v>
      </c>
      <c r="K311" s="7" t="s">
        <v>97</v>
      </c>
      <c r="L311" s="8" t="s">
        <v>98</v>
      </c>
      <c r="M311" s="8" t="s">
        <v>98</v>
      </c>
      <c r="N311" s="8" t="s">
        <v>98</v>
      </c>
      <c r="O311" s="8" t="s">
        <v>98</v>
      </c>
      <c r="P311" s="8" t="s">
        <v>98</v>
      </c>
      <c r="Q311" s="8" t="s">
        <v>98</v>
      </c>
      <c r="R311" s="8" t="s">
        <v>98</v>
      </c>
      <c r="S311" s="7" t="s">
        <v>97</v>
      </c>
    </row>
    <row r="312" spans="1:19" ht="15.75" x14ac:dyDescent="0.25">
      <c r="A312" s="6">
        <f>Questionnaire!A312</f>
        <v>310</v>
      </c>
      <c r="B312" s="8" t="s">
        <v>98</v>
      </c>
      <c r="C312" s="7" t="s">
        <v>97</v>
      </c>
      <c r="D312" s="7" t="s">
        <v>97</v>
      </c>
      <c r="E312" s="8" t="s">
        <v>98</v>
      </c>
      <c r="F312" s="8" t="s">
        <v>98</v>
      </c>
      <c r="G312" s="8" t="s">
        <v>98</v>
      </c>
      <c r="H312" s="7" t="s">
        <v>97</v>
      </c>
      <c r="I312" s="8" t="s">
        <v>98</v>
      </c>
      <c r="J312" s="8" t="s">
        <v>98</v>
      </c>
      <c r="K312" s="8" t="s">
        <v>98</v>
      </c>
      <c r="L312" s="8" t="s">
        <v>98</v>
      </c>
      <c r="M312" s="8" t="s">
        <v>98</v>
      </c>
      <c r="N312" s="8" t="s">
        <v>98</v>
      </c>
      <c r="O312" s="8" t="s">
        <v>98</v>
      </c>
      <c r="P312" s="8" t="s">
        <v>98</v>
      </c>
      <c r="Q312" s="8" t="s">
        <v>98</v>
      </c>
      <c r="R312" s="8" t="s">
        <v>98</v>
      </c>
      <c r="S312" s="7" t="s">
        <v>97</v>
      </c>
    </row>
    <row r="313" spans="1:19" ht="15.75" x14ac:dyDescent="0.25">
      <c r="A313" s="6">
        <f>Questionnaire!A313</f>
        <v>311</v>
      </c>
      <c r="B313" s="8" t="s">
        <v>98</v>
      </c>
      <c r="C313" s="7" t="s">
        <v>97</v>
      </c>
      <c r="D313" s="7" t="s">
        <v>97</v>
      </c>
      <c r="E313" s="8" t="s">
        <v>98</v>
      </c>
      <c r="F313" s="8" t="s">
        <v>98</v>
      </c>
      <c r="G313" s="8" t="s">
        <v>98</v>
      </c>
      <c r="H313" s="7" t="s">
        <v>97</v>
      </c>
      <c r="I313" s="8" t="s">
        <v>98</v>
      </c>
      <c r="J313" s="8" t="s">
        <v>98</v>
      </c>
      <c r="K313" s="8" t="s">
        <v>98</v>
      </c>
      <c r="L313" s="8" t="s">
        <v>98</v>
      </c>
      <c r="M313" s="8" t="s">
        <v>98</v>
      </c>
      <c r="N313" s="8" t="s">
        <v>98</v>
      </c>
      <c r="O313" s="8" t="s">
        <v>98</v>
      </c>
      <c r="P313" s="8" t="s">
        <v>98</v>
      </c>
      <c r="Q313" s="8" t="s">
        <v>98</v>
      </c>
      <c r="R313" s="8" t="s">
        <v>98</v>
      </c>
      <c r="S313" s="8" t="s">
        <v>98</v>
      </c>
    </row>
    <row r="314" spans="1:19" ht="15.75" x14ac:dyDescent="0.25">
      <c r="A314" s="6">
        <f>Questionnaire!A314</f>
        <v>312</v>
      </c>
      <c r="B314" s="8" t="s">
        <v>98</v>
      </c>
      <c r="C314" s="7" t="s">
        <v>97</v>
      </c>
      <c r="D314" s="8" t="s">
        <v>98</v>
      </c>
      <c r="E314" s="8" t="s">
        <v>98</v>
      </c>
      <c r="F314" s="8" t="s">
        <v>98</v>
      </c>
      <c r="G314" s="7" t="s">
        <v>97</v>
      </c>
      <c r="H314" s="8" t="s">
        <v>98</v>
      </c>
      <c r="I314" s="8" t="s">
        <v>98</v>
      </c>
      <c r="J314" s="8" t="s">
        <v>98</v>
      </c>
      <c r="K314" s="8" t="s">
        <v>98</v>
      </c>
      <c r="L314" s="8" t="s">
        <v>98</v>
      </c>
      <c r="M314" s="8" t="s">
        <v>98</v>
      </c>
      <c r="N314" s="8" t="s">
        <v>98</v>
      </c>
      <c r="O314" s="8" t="s">
        <v>98</v>
      </c>
      <c r="P314" s="8" t="s">
        <v>98</v>
      </c>
      <c r="Q314" s="8" t="s">
        <v>98</v>
      </c>
      <c r="R314" s="8" t="s">
        <v>98</v>
      </c>
      <c r="S314" s="8" t="s">
        <v>98</v>
      </c>
    </row>
    <row r="315" spans="1:19" ht="15.75" x14ac:dyDescent="0.25">
      <c r="A315" s="6">
        <f>Questionnaire!A315</f>
        <v>313</v>
      </c>
      <c r="B315" s="8" t="s">
        <v>98</v>
      </c>
      <c r="C315" s="7" t="s">
        <v>97</v>
      </c>
      <c r="D315" s="7" t="s">
        <v>97</v>
      </c>
      <c r="E315" s="8" t="s">
        <v>98</v>
      </c>
      <c r="F315" s="8" t="s">
        <v>98</v>
      </c>
      <c r="G315" s="8" t="s">
        <v>98</v>
      </c>
      <c r="H315" s="8" t="s">
        <v>98</v>
      </c>
      <c r="I315" s="8" t="s">
        <v>98</v>
      </c>
      <c r="J315" s="8" t="s">
        <v>98</v>
      </c>
      <c r="K315" s="8" t="s">
        <v>98</v>
      </c>
      <c r="L315" s="8" t="s">
        <v>98</v>
      </c>
      <c r="M315" s="8" t="s">
        <v>98</v>
      </c>
      <c r="N315" s="8" t="s">
        <v>98</v>
      </c>
      <c r="O315" s="8" t="s">
        <v>98</v>
      </c>
      <c r="P315" s="8" t="s">
        <v>98</v>
      </c>
      <c r="Q315" s="8" t="s">
        <v>98</v>
      </c>
      <c r="R315" s="8" t="s">
        <v>98</v>
      </c>
      <c r="S315" s="8" t="s">
        <v>98</v>
      </c>
    </row>
    <row r="316" spans="1:19" ht="15.75" x14ac:dyDescent="0.25">
      <c r="A316" s="6">
        <f>Questionnaire!A316</f>
        <v>314</v>
      </c>
      <c r="B316" s="8" t="s">
        <v>98</v>
      </c>
      <c r="C316" s="7" t="s">
        <v>97</v>
      </c>
      <c r="D316" s="7" t="s">
        <v>97</v>
      </c>
      <c r="E316" s="7" t="s">
        <v>97</v>
      </c>
      <c r="F316" s="8" t="s">
        <v>98</v>
      </c>
      <c r="G316" s="8" t="s">
        <v>98</v>
      </c>
      <c r="H316" s="7" t="s">
        <v>97</v>
      </c>
      <c r="I316" s="8" t="s">
        <v>98</v>
      </c>
      <c r="J316" s="8" t="s">
        <v>98</v>
      </c>
      <c r="K316" s="8" t="s">
        <v>98</v>
      </c>
      <c r="L316" s="8" t="s">
        <v>98</v>
      </c>
      <c r="M316" s="8" t="s">
        <v>98</v>
      </c>
      <c r="N316" s="8" t="s">
        <v>98</v>
      </c>
      <c r="O316" s="8" t="s">
        <v>98</v>
      </c>
      <c r="P316" s="8" t="s">
        <v>98</v>
      </c>
      <c r="Q316" s="8" t="s">
        <v>98</v>
      </c>
      <c r="R316" s="8" t="s">
        <v>98</v>
      </c>
      <c r="S316" s="8" t="s">
        <v>98</v>
      </c>
    </row>
    <row r="317" spans="1:19" ht="15.75" x14ac:dyDescent="0.25">
      <c r="A317" s="6">
        <f>Questionnaire!A317</f>
        <v>315</v>
      </c>
      <c r="B317" s="8" t="s">
        <v>98</v>
      </c>
      <c r="C317" s="7" t="s">
        <v>97</v>
      </c>
      <c r="D317" s="8" t="s">
        <v>98</v>
      </c>
      <c r="E317" s="8" t="s">
        <v>98</v>
      </c>
      <c r="F317" s="8" t="s">
        <v>98</v>
      </c>
      <c r="G317" s="7" t="s">
        <v>97</v>
      </c>
      <c r="H317" s="8"/>
      <c r="I317" s="8" t="s">
        <v>98</v>
      </c>
      <c r="J317" s="8" t="s">
        <v>98</v>
      </c>
      <c r="K317" s="8" t="s">
        <v>98</v>
      </c>
      <c r="L317" s="8" t="s">
        <v>98</v>
      </c>
      <c r="M317" s="8" t="s">
        <v>98</v>
      </c>
      <c r="N317" s="8" t="s">
        <v>98</v>
      </c>
      <c r="O317" s="8" t="s">
        <v>98</v>
      </c>
      <c r="P317" s="8" t="s">
        <v>98</v>
      </c>
      <c r="Q317" s="8" t="s">
        <v>98</v>
      </c>
      <c r="R317" s="8" t="s">
        <v>98</v>
      </c>
      <c r="S317" s="8" t="s">
        <v>98</v>
      </c>
    </row>
    <row r="318" spans="1:19" ht="15.75" x14ac:dyDescent="0.25">
      <c r="A318" s="6">
        <f>Questionnaire!A318</f>
        <v>316</v>
      </c>
      <c r="B318" s="8" t="s">
        <v>98</v>
      </c>
      <c r="C318" s="7" t="s">
        <v>97</v>
      </c>
      <c r="D318" s="7" t="s">
        <v>97</v>
      </c>
      <c r="E318" s="7" t="s">
        <v>97</v>
      </c>
      <c r="F318" s="8" t="s">
        <v>98</v>
      </c>
      <c r="G318" s="8" t="s">
        <v>98</v>
      </c>
      <c r="H318" s="7" t="s">
        <v>97</v>
      </c>
      <c r="I318" s="8" t="s">
        <v>98</v>
      </c>
      <c r="J318" s="8" t="s">
        <v>98</v>
      </c>
      <c r="K318" s="8" t="s">
        <v>98</v>
      </c>
      <c r="L318" s="8" t="s">
        <v>98</v>
      </c>
      <c r="M318" s="8" t="s">
        <v>98</v>
      </c>
      <c r="N318" s="8" t="s">
        <v>98</v>
      </c>
      <c r="O318" s="8" t="s">
        <v>98</v>
      </c>
      <c r="P318" s="8" t="s">
        <v>98</v>
      </c>
      <c r="Q318" s="8" t="s">
        <v>98</v>
      </c>
      <c r="R318" s="7" t="s">
        <v>97</v>
      </c>
      <c r="S318" s="8" t="s">
        <v>98</v>
      </c>
    </row>
    <row r="319" spans="1:19" ht="15.75" x14ac:dyDescent="0.25">
      <c r="A319" s="6">
        <f>Questionnaire!A319</f>
        <v>317</v>
      </c>
      <c r="B319" s="8" t="s">
        <v>98</v>
      </c>
      <c r="C319" s="7" t="s">
        <v>97</v>
      </c>
      <c r="D319" s="7" t="s">
        <v>97</v>
      </c>
      <c r="E319" s="8" t="s">
        <v>98</v>
      </c>
      <c r="F319" s="8" t="s">
        <v>98</v>
      </c>
      <c r="G319" s="8" t="s">
        <v>98</v>
      </c>
      <c r="H319" s="8"/>
      <c r="I319" s="8" t="s">
        <v>98</v>
      </c>
      <c r="J319" s="7" t="s">
        <v>97</v>
      </c>
      <c r="K319" s="8" t="s">
        <v>98</v>
      </c>
      <c r="L319" s="7" t="s">
        <v>97</v>
      </c>
      <c r="M319" s="8" t="s">
        <v>98</v>
      </c>
      <c r="N319" s="8" t="s">
        <v>98</v>
      </c>
      <c r="O319" s="8" t="s">
        <v>98</v>
      </c>
      <c r="P319" s="8" t="s">
        <v>98</v>
      </c>
      <c r="Q319" s="8" t="s">
        <v>98</v>
      </c>
      <c r="R319" s="8" t="s">
        <v>98</v>
      </c>
      <c r="S319" s="8" t="s">
        <v>98</v>
      </c>
    </row>
    <row r="320" spans="1:19" ht="15.75" x14ac:dyDescent="0.25">
      <c r="A320" s="6">
        <f>Questionnaire!A320</f>
        <v>318</v>
      </c>
      <c r="B320" s="8" t="s">
        <v>98</v>
      </c>
      <c r="C320" s="8" t="s">
        <v>98</v>
      </c>
      <c r="D320" s="8" t="s">
        <v>98</v>
      </c>
      <c r="E320" s="8" t="s">
        <v>98</v>
      </c>
      <c r="F320" s="8" t="s">
        <v>98</v>
      </c>
      <c r="G320" s="7" t="s">
        <v>97</v>
      </c>
      <c r="H320" s="7" t="s">
        <v>97</v>
      </c>
      <c r="I320" s="8" t="s">
        <v>98</v>
      </c>
      <c r="J320" s="8" t="s">
        <v>98</v>
      </c>
      <c r="K320" s="8" t="s">
        <v>98</v>
      </c>
      <c r="L320" s="8" t="s">
        <v>98</v>
      </c>
      <c r="M320" s="8" t="s">
        <v>98</v>
      </c>
      <c r="N320" s="8" t="s">
        <v>98</v>
      </c>
      <c r="O320" s="8" t="s">
        <v>98</v>
      </c>
      <c r="P320" s="8" t="s">
        <v>98</v>
      </c>
      <c r="Q320" s="8" t="s">
        <v>98</v>
      </c>
      <c r="R320" s="8" t="s">
        <v>98</v>
      </c>
      <c r="S320" s="8" t="s">
        <v>98</v>
      </c>
    </row>
    <row r="321" spans="1:19" ht="15.75" x14ac:dyDescent="0.25">
      <c r="A321" s="6">
        <f>Questionnaire!A321</f>
        <v>319</v>
      </c>
      <c r="B321" s="8" t="s">
        <v>98</v>
      </c>
      <c r="C321" s="7" t="s">
        <v>97</v>
      </c>
      <c r="D321" s="8" t="s">
        <v>98</v>
      </c>
      <c r="E321" s="8" t="s">
        <v>98</v>
      </c>
      <c r="F321" s="8" t="s">
        <v>98</v>
      </c>
      <c r="G321" s="7" t="s">
        <v>97</v>
      </c>
      <c r="H321" s="7" t="s">
        <v>97</v>
      </c>
      <c r="I321" s="8" t="s">
        <v>98</v>
      </c>
      <c r="J321" s="8" t="s">
        <v>98</v>
      </c>
      <c r="K321" s="7" t="s">
        <v>97</v>
      </c>
      <c r="L321" s="8" t="s">
        <v>98</v>
      </c>
      <c r="M321" s="8" t="s">
        <v>98</v>
      </c>
      <c r="N321" s="8" t="s">
        <v>98</v>
      </c>
      <c r="O321" s="8" t="s">
        <v>98</v>
      </c>
      <c r="P321" s="8" t="s">
        <v>98</v>
      </c>
      <c r="Q321" s="8" t="s">
        <v>98</v>
      </c>
      <c r="R321" s="8" t="s">
        <v>98</v>
      </c>
      <c r="S321" s="8" t="s">
        <v>98</v>
      </c>
    </row>
    <row r="322" spans="1:19" ht="15.75" x14ac:dyDescent="0.25">
      <c r="A322" s="6">
        <f>Questionnaire!A322</f>
        <v>320</v>
      </c>
      <c r="B322" s="8" t="s">
        <v>98</v>
      </c>
      <c r="C322" s="7" t="s">
        <v>97</v>
      </c>
      <c r="D322" s="8" t="s">
        <v>98</v>
      </c>
      <c r="E322" s="8" t="s">
        <v>98</v>
      </c>
      <c r="F322" s="8" t="s">
        <v>98</v>
      </c>
      <c r="G322" s="7" t="s">
        <v>97</v>
      </c>
      <c r="H322" s="8"/>
      <c r="I322" s="8" t="s">
        <v>98</v>
      </c>
      <c r="J322" s="8" t="s">
        <v>98</v>
      </c>
      <c r="K322" s="8" t="s">
        <v>98</v>
      </c>
      <c r="L322" s="8" t="s">
        <v>98</v>
      </c>
      <c r="M322" s="8" t="s">
        <v>98</v>
      </c>
      <c r="N322" s="8" t="s">
        <v>98</v>
      </c>
      <c r="O322" s="8" t="s">
        <v>98</v>
      </c>
      <c r="P322" s="8" t="s">
        <v>98</v>
      </c>
      <c r="Q322" s="8" t="s">
        <v>98</v>
      </c>
      <c r="R322" s="8" t="s">
        <v>98</v>
      </c>
      <c r="S322" s="8" t="s">
        <v>98</v>
      </c>
    </row>
    <row r="323" spans="1:19" ht="15.75" x14ac:dyDescent="0.25">
      <c r="A323" s="6">
        <f>Questionnaire!A323</f>
        <v>321</v>
      </c>
      <c r="B323" s="8" t="s">
        <v>98</v>
      </c>
      <c r="C323" s="7" t="s">
        <v>97</v>
      </c>
      <c r="D323" s="8" t="s">
        <v>98</v>
      </c>
      <c r="E323" s="8" t="s">
        <v>98</v>
      </c>
      <c r="F323" s="8" t="s">
        <v>98</v>
      </c>
      <c r="G323" s="8" t="s">
        <v>98</v>
      </c>
      <c r="H323" s="7" t="s">
        <v>97</v>
      </c>
      <c r="I323" s="8" t="s">
        <v>98</v>
      </c>
      <c r="J323" s="7" t="s">
        <v>97</v>
      </c>
      <c r="K323" s="7" t="s">
        <v>97</v>
      </c>
      <c r="L323" s="7" t="s">
        <v>97</v>
      </c>
      <c r="M323" s="8" t="s">
        <v>98</v>
      </c>
      <c r="N323" s="8" t="s">
        <v>98</v>
      </c>
      <c r="O323" s="8" t="s">
        <v>98</v>
      </c>
      <c r="P323" s="8" t="s">
        <v>98</v>
      </c>
      <c r="Q323" s="8" t="s">
        <v>98</v>
      </c>
      <c r="R323" s="8" t="s">
        <v>98</v>
      </c>
      <c r="S323" s="8" t="s">
        <v>98</v>
      </c>
    </row>
    <row r="324" spans="1:19" ht="15.75" x14ac:dyDescent="0.25">
      <c r="A324" s="6">
        <f>Questionnaire!A324</f>
        <v>322</v>
      </c>
      <c r="B324" s="8" t="s">
        <v>98</v>
      </c>
      <c r="C324" s="7" t="s">
        <v>97</v>
      </c>
      <c r="D324" s="8" t="s">
        <v>98</v>
      </c>
      <c r="E324" s="8" t="s">
        <v>98</v>
      </c>
      <c r="F324" s="8" t="s">
        <v>98</v>
      </c>
      <c r="G324" s="8" t="s">
        <v>98</v>
      </c>
      <c r="H324" s="8" t="s">
        <v>98</v>
      </c>
      <c r="I324" s="8" t="s">
        <v>98</v>
      </c>
      <c r="J324" s="8"/>
      <c r="K324" s="7" t="s">
        <v>97</v>
      </c>
      <c r="L324" s="7" t="s">
        <v>97</v>
      </c>
      <c r="M324" s="8" t="s">
        <v>98</v>
      </c>
      <c r="N324" s="8" t="s">
        <v>98</v>
      </c>
      <c r="O324" s="8" t="s">
        <v>98</v>
      </c>
      <c r="P324" s="8" t="s">
        <v>98</v>
      </c>
      <c r="Q324" s="8" t="s">
        <v>98</v>
      </c>
      <c r="R324" s="7" t="s">
        <v>97</v>
      </c>
      <c r="S324" s="8" t="s">
        <v>98</v>
      </c>
    </row>
    <row r="325" spans="1:19" ht="15.75" x14ac:dyDescent="0.25">
      <c r="A325" s="6">
        <f>Questionnaire!A325</f>
        <v>323</v>
      </c>
      <c r="B325" s="8" t="s">
        <v>98</v>
      </c>
      <c r="C325" s="7" t="s">
        <v>97</v>
      </c>
      <c r="D325" s="8" t="s">
        <v>98</v>
      </c>
      <c r="E325" s="8" t="s">
        <v>98</v>
      </c>
      <c r="F325" s="8" t="s">
        <v>98</v>
      </c>
      <c r="G325" s="8" t="s">
        <v>98</v>
      </c>
      <c r="H325" s="7" t="s">
        <v>97</v>
      </c>
      <c r="I325" s="8" t="s">
        <v>98</v>
      </c>
      <c r="J325" s="7" t="s">
        <v>97</v>
      </c>
      <c r="K325" s="8"/>
      <c r="L325" s="7" t="s">
        <v>97</v>
      </c>
      <c r="M325" s="8" t="s">
        <v>98</v>
      </c>
      <c r="N325" s="8" t="s">
        <v>98</v>
      </c>
      <c r="O325" s="8" t="s">
        <v>98</v>
      </c>
      <c r="P325" s="8" t="s">
        <v>98</v>
      </c>
      <c r="Q325" s="8" t="s">
        <v>98</v>
      </c>
      <c r="R325" s="8" t="s">
        <v>98</v>
      </c>
      <c r="S325" s="8" t="s">
        <v>98</v>
      </c>
    </row>
    <row r="326" spans="1:19" ht="15.75" x14ac:dyDescent="0.25">
      <c r="A326" s="6">
        <f>Questionnaire!A326</f>
        <v>324</v>
      </c>
      <c r="B326" s="8" t="s">
        <v>98</v>
      </c>
      <c r="C326" s="7" t="s">
        <v>97</v>
      </c>
      <c r="D326" s="7" t="s">
        <v>97</v>
      </c>
      <c r="E326" s="8" t="s">
        <v>98</v>
      </c>
      <c r="F326" s="8" t="s">
        <v>98</v>
      </c>
      <c r="G326" s="8" t="s">
        <v>98</v>
      </c>
      <c r="H326" s="8" t="s">
        <v>98</v>
      </c>
      <c r="I326" s="7" t="s">
        <v>97</v>
      </c>
      <c r="J326" s="8" t="s">
        <v>98</v>
      </c>
      <c r="K326" s="8" t="s">
        <v>98</v>
      </c>
      <c r="L326" s="8" t="s">
        <v>98</v>
      </c>
      <c r="M326" s="8" t="s">
        <v>98</v>
      </c>
      <c r="N326" s="8" t="s">
        <v>98</v>
      </c>
      <c r="O326" s="8" t="s">
        <v>98</v>
      </c>
      <c r="P326" s="8" t="s">
        <v>98</v>
      </c>
      <c r="Q326" s="8" t="s">
        <v>98</v>
      </c>
      <c r="R326" s="8" t="s">
        <v>98</v>
      </c>
      <c r="S326" s="8" t="s">
        <v>98</v>
      </c>
    </row>
    <row r="327" spans="1:19" ht="15.75" x14ac:dyDescent="0.25">
      <c r="A327" s="6">
        <f>Questionnaire!A327</f>
        <v>325</v>
      </c>
      <c r="B327" s="8" t="s">
        <v>98</v>
      </c>
      <c r="C327" s="7" t="s">
        <v>97</v>
      </c>
      <c r="D327" s="8" t="s">
        <v>98</v>
      </c>
      <c r="E327" s="8" t="s">
        <v>98</v>
      </c>
      <c r="F327" s="8" t="s">
        <v>98</v>
      </c>
      <c r="G327" s="8" t="s">
        <v>98</v>
      </c>
      <c r="H327" s="7" t="s">
        <v>97</v>
      </c>
      <c r="I327" s="8" t="s">
        <v>98</v>
      </c>
      <c r="J327" s="8" t="s">
        <v>98</v>
      </c>
      <c r="K327" s="8" t="s">
        <v>98</v>
      </c>
      <c r="L327" s="8" t="s">
        <v>98</v>
      </c>
      <c r="M327" s="8" t="s">
        <v>98</v>
      </c>
      <c r="N327" s="8" t="s">
        <v>98</v>
      </c>
      <c r="O327" s="8" t="s">
        <v>98</v>
      </c>
      <c r="P327" s="8" t="s">
        <v>98</v>
      </c>
      <c r="Q327" s="8" t="s">
        <v>98</v>
      </c>
      <c r="R327" s="8" t="s">
        <v>98</v>
      </c>
      <c r="S327" s="8" t="s">
        <v>98</v>
      </c>
    </row>
    <row r="328" spans="1:19" ht="15.75" x14ac:dyDescent="0.25">
      <c r="A328" s="6">
        <f>Questionnaire!A328</f>
        <v>326</v>
      </c>
      <c r="B328" s="8" t="s">
        <v>98</v>
      </c>
      <c r="C328" s="7" t="s">
        <v>97</v>
      </c>
      <c r="D328" s="8" t="s">
        <v>98</v>
      </c>
      <c r="E328" s="8" t="s">
        <v>98</v>
      </c>
      <c r="F328" s="8" t="s">
        <v>98</v>
      </c>
      <c r="G328" s="7" t="s">
        <v>97</v>
      </c>
      <c r="H328" s="8"/>
      <c r="I328" s="8" t="s">
        <v>98</v>
      </c>
      <c r="J328" s="8" t="s">
        <v>98</v>
      </c>
      <c r="K328" s="8" t="s">
        <v>98</v>
      </c>
      <c r="L328" s="8" t="s">
        <v>98</v>
      </c>
      <c r="M328" s="8" t="s">
        <v>98</v>
      </c>
      <c r="N328" s="8" t="s">
        <v>98</v>
      </c>
      <c r="O328" s="8" t="s">
        <v>98</v>
      </c>
      <c r="P328" s="8" t="s">
        <v>98</v>
      </c>
      <c r="Q328" s="8" t="s">
        <v>98</v>
      </c>
      <c r="R328" s="8" t="s">
        <v>98</v>
      </c>
      <c r="S328" s="8" t="s">
        <v>98</v>
      </c>
    </row>
    <row r="329" spans="1:19" ht="15.75" x14ac:dyDescent="0.25">
      <c r="A329" s="6">
        <f>Questionnaire!A329</f>
        <v>327</v>
      </c>
      <c r="B329" s="8" t="s">
        <v>98</v>
      </c>
      <c r="C329" s="7" t="s">
        <v>97</v>
      </c>
      <c r="D329" s="8" t="s">
        <v>98</v>
      </c>
      <c r="E329" s="8" t="s">
        <v>98</v>
      </c>
      <c r="F329" s="8" t="s">
        <v>98</v>
      </c>
      <c r="G329" s="8" t="s">
        <v>98</v>
      </c>
      <c r="H329" s="7" t="s">
        <v>97</v>
      </c>
      <c r="I329" s="8" t="s">
        <v>98</v>
      </c>
      <c r="J329" s="8" t="s">
        <v>98</v>
      </c>
      <c r="K329" s="7" t="s">
        <v>97</v>
      </c>
      <c r="L329" s="8" t="s">
        <v>98</v>
      </c>
      <c r="M329" s="8" t="s">
        <v>98</v>
      </c>
      <c r="N329" s="8" t="s">
        <v>98</v>
      </c>
      <c r="O329" s="8" t="s">
        <v>98</v>
      </c>
      <c r="P329" s="8" t="s">
        <v>98</v>
      </c>
      <c r="Q329" s="8" t="s">
        <v>98</v>
      </c>
      <c r="R329" s="8" t="s">
        <v>98</v>
      </c>
      <c r="S329" s="7" t="s">
        <v>97</v>
      </c>
    </row>
    <row r="330" spans="1:19" ht="15.75" x14ac:dyDescent="0.25">
      <c r="A330" s="6">
        <f>Questionnaire!A330</f>
        <v>328</v>
      </c>
      <c r="B330" s="8" t="s">
        <v>98</v>
      </c>
      <c r="C330" s="7" t="s">
        <v>97</v>
      </c>
      <c r="D330" s="8" t="s">
        <v>98</v>
      </c>
      <c r="E330" s="8" t="s">
        <v>98</v>
      </c>
      <c r="F330" s="8" t="s">
        <v>98</v>
      </c>
      <c r="G330" s="8" t="s">
        <v>98</v>
      </c>
      <c r="H330" s="7" t="s">
        <v>97</v>
      </c>
      <c r="I330" s="8" t="s">
        <v>98</v>
      </c>
      <c r="J330" s="8" t="s">
        <v>98</v>
      </c>
      <c r="K330" s="7" t="s">
        <v>97</v>
      </c>
      <c r="L330" s="8" t="s">
        <v>98</v>
      </c>
      <c r="M330" s="8" t="s">
        <v>98</v>
      </c>
      <c r="N330" s="8" t="s">
        <v>98</v>
      </c>
      <c r="O330" s="8" t="s">
        <v>98</v>
      </c>
      <c r="P330" s="8" t="s">
        <v>98</v>
      </c>
      <c r="Q330" s="8" t="s">
        <v>98</v>
      </c>
      <c r="R330" s="8" t="s">
        <v>98</v>
      </c>
      <c r="S330" s="7" t="s">
        <v>97</v>
      </c>
    </row>
    <row r="331" spans="1:19" ht="15.75" x14ac:dyDescent="0.25">
      <c r="A331" s="6">
        <f>Questionnaire!A331</f>
        <v>329</v>
      </c>
      <c r="B331" s="8" t="s">
        <v>98</v>
      </c>
      <c r="C331" s="7" t="s">
        <v>97</v>
      </c>
      <c r="D331" s="8" t="s">
        <v>98</v>
      </c>
      <c r="E331" s="8" t="s">
        <v>98</v>
      </c>
      <c r="F331" s="8" t="s">
        <v>98</v>
      </c>
      <c r="G331" s="8" t="s">
        <v>98</v>
      </c>
      <c r="H331" s="8" t="s">
        <v>98</v>
      </c>
      <c r="I331" s="8" t="s">
        <v>98</v>
      </c>
      <c r="J331" s="7" t="s">
        <v>97</v>
      </c>
      <c r="K331" s="8" t="s">
        <v>98</v>
      </c>
      <c r="L331" s="7" t="s">
        <v>97</v>
      </c>
      <c r="M331" s="8" t="s">
        <v>98</v>
      </c>
      <c r="N331" s="8" t="s">
        <v>98</v>
      </c>
      <c r="O331" s="8" t="s">
        <v>98</v>
      </c>
      <c r="P331" s="8" t="s">
        <v>98</v>
      </c>
      <c r="Q331" s="8" t="s">
        <v>98</v>
      </c>
      <c r="R331" s="8" t="s">
        <v>98</v>
      </c>
      <c r="S331" s="8" t="s">
        <v>98</v>
      </c>
    </row>
    <row r="332" spans="1:19" ht="15.75" x14ac:dyDescent="0.25">
      <c r="A332" s="6">
        <f>Questionnaire!A332</f>
        <v>330</v>
      </c>
      <c r="B332" s="8" t="s">
        <v>98</v>
      </c>
      <c r="C332" s="7" t="s">
        <v>97</v>
      </c>
      <c r="D332" s="8" t="s">
        <v>98</v>
      </c>
      <c r="E332" s="8" t="s">
        <v>98</v>
      </c>
      <c r="F332" s="8" t="s">
        <v>98</v>
      </c>
      <c r="G332" s="7" t="s">
        <v>97</v>
      </c>
      <c r="H332" s="7" t="s">
        <v>97</v>
      </c>
      <c r="I332" s="8" t="s">
        <v>98</v>
      </c>
      <c r="J332" s="8" t="s">
        <v>98</v>
      </c>
      <c r="K332" s="7" t="s">
        <v>97</v>
      </c>
      <c r="L332" s="7" t="s">
        <v>97</v>
      </c>
      <c r="M332" s="8" t="s">
        <v>98</v>
      </c>
      <c r="N332" s="8" t="s">
        <v>98</v>
      </c>
      <c r="O332" s="8" t="s">
        <v>98</v>
      </c>
      <c r="P332" s="8" t="s">
        <v>98</v>
      </c>
      <c r="Q332" s="8" t="s">
        <v>98</v>
      </c>
      <c r="R332" s="8" t="s">
        <v>98</v>
      </c>
      <c r="S332" s="8" t="s">
        <v>98</v>
      </c>
    </row>
    <row r="333" spans="1:19" ht="15.75" x14ac:dyDescent="0.25">
      <c r="A333" s="6">
        <f>Questionnaire!A333</f>
        <v>331</v>
      </c>
      <c r="B333" s="8" t="s">
        <v>98</v>
      </c>
      <c r="C333" s="7" t="s">
        <v>97</v>
      </c>
      <c r="D333" s="7" t="s">
        <v>97</v>
      </c>
      <c r="E333" s="7" t="s">
        <v>97</v>
      </c>
      <c r="F333" s="8" t="s">
        <v>98</v>
      </c>
      <c r="G333" s="8" t="s">
        <v>98</v>
      </c>
      <c r="H333" s="7" t="s">
        <v>97</v>
      </c>
      <c r="I333" s="8" t="s">
        <v>98</v>
      </c>
      <c r="J333" s="8" t="s">
        <v>98</v>
      </c>
      <c r="K333" s="8" t="s">
        <v>98</v>
      </c>
      <c r="L333" s="7" t="s">
        <v>97</v>
      </c>
      <c r="M333" s="8" t="s">
        <v>98</v>
      </c>
      <c r="N333" s="8" t="s">
        <v>98</v>
      </c>
      <c r="O333" s="8" t="s">
        <v>98</v>
      </c>
      <c r="P333" s="8" t="s">
        <v>98</v>
      </c>
      <c r="Q333" s="8" t="s">
        <v>98</v>
      </c>
      <c r="R333" s="8" t="s">
        <v>98</v>
      </c>
      <c r="S333" s="8" t="s">
        <v>98</v>
      </c>
    </row>
    <row r="334" spans="1:19" ht="15.75" x14ac:dyDescent="0.25">
      <c r="A334" s="6">
        <f>Questionnaire!A334</f>
        <v>332</v>
      </c>
      <c r="B334" s="8" t="s">
        <v>98</v>
      </c>
      <c r="C334" s="7" t="s">
        <v>97</v>
      </c>
      <c r="D334" s="8" t="s">
        <v>98</v>
      </c>
      <c r="E334" s="8" t="s">
        <v>98</v>
      </c>
      <c r="F334" s="8" t="s">
        <v>98</v>
      </c>
      <c r="G334" s="8" t="s">
        <v>98</v>
      </c>
      <c r="H334" s="7" t="s">
        <v>97</v>
      </c>
      <c r="I334" s="8" t="s">
        <v>98</v>
      </c>
      <c r="J334" s="8" t="s">
        <v>98</v>
      </c>
      <c r="K334" s="8" t="s">
        <v>98</v>
      </c>
      <c r="L334" s="7" t="s">
        <v>97</v>
      </c>
      <c r="M334" s="8" t="s">
        <v>98</v>
      </c>
      <c r="N334" s="8" t="s">
        <v>98</v>
      </c>
      <c r="O334" s="8" t="s">
        <v>98</v>
      </c>
      <c r="P334" s="8" t="s">
        <v>98</v>
      </c>
      <c r="Q334" s="8" t="s">
        <v>98</v>
      </c>
      <c r="R334" s="8" t="s">
        <v>98</v>
      </c>
      <c r="S334" s="8" t="s">
        <v>98</v>
      </c>
    </row>
    <row r="335" spans="1:19" ht="15.75" x14ac:dyDescent="0.25">
      <c r="A335" s="6">
        <f>Questionnaire!A335</f>
        <v>333</v>
      </c>
      <c r="B335" s="8" t="s">
        <v>98</v>
      </c>
      <c r="C335" s="7" t="s">
        <v>97</v>
      </c>
      <c r="D335" s="8" t="s">
        <v>98</v>
      </c>
      <c r="E335" s="8" t="s">
        <v>98</v>
      </c>
      <c r="F335" s="8" t="s">
        <v>98</v>
      </c>
      <c r="G335" s="7" t="s">
        <v>97</v>
      </c>
      <c r="H335" s="7" t="s">
        <v>97</v>
      </c>
      <c r="I335" s="8" t="s">
        <v>98</v>
      </c>
      <c r="J335" s="8" t="s">
        <v>98</v>
      </c>
      <c r="K335" s="8" t="s">
        <v>98</v>
      </c>
      <c r="L335" s="7" t="s">
        <v>97</v>
      </c>
      <c r="M335" s="8" t="s">
        <v>98</v>
      </c>
      <c r="N335" s="8" t="s">
        <v>98</v>
      </c>
      <c r="O335" s="8" t="s">
        <v>98</v>
      </c>
      <c r="P335" s="8" t="s">
        <v>98</v>
      </c>
      <c r="Q335" s="8" t="s">
        <v>98</v>
      </c>
      <c r="R335" s="8" t="s">
        <v>98</v>
      </c>
      <c r="S335" s="8" t="s">
        <v>98</v>
      </c>
    </row>
    <row r="336" spans="1:19" ht="15.75" x14ac:dyDescent="0.25">
      <c r="A336" s="6">
        <f>Questionnaire!A336</f>
        <v>334</v>
      </c>
      <c r="B336" s="8" t="s">
        <v>98</v>
      </c>
      <c r="C336" s="8" t="s">
        <v>98</v>
      </c>
      <c r="D336" s="8" t="s">
        <v>98</v>
      </c>
      <c r="E336" s="8" t="s">
        <v>98</v>
      </c>
      <c r="F336" s="8" t="s">
        <v>98</v>
      </c>
      <c r="G336" s="7" t="s">
        <v>97</v>
      </c>
      <c r="H336" s="8" t="s">
        <v>98</v>
      </c>
      <c r="I336" s="7" t="s">
        <v>97</v>
      </c>
      <c r="J336" s="7" t="s">
        <v>97</v>
      </c>
      <c r="K336" s="7" t="s">
        <v>97</v>
      </c>
      <c r="L336" s="7" t="s">
        <v>97</v>
      </c>
      <c r="M336" s="8" t="s">
        <v>98</v>
      </c>
      <c r="N336" s="8" t="s">
        <v>98</v>
      </c>
      <c r="O336" s="8" t="s">
        <v>98</v>
      </c>
      <c r="P336" s="8" t="s">
        <v>98</v>
      </c>
      <c r="Q336" s="8" t="s">
        <v>98</v>
      </c>
      <c r="R336" s="8" t="s">
        <v>98</v>
      </c>
      <c r="S336" s="8" t="s">
        <v>98</v>
      </c>
    </row>
    <row r="337" spans="1:19" ht="15.75" x14ac:dyDescent="0.25">
      <c r="A337" s="6">
        <f>Questionnaire!A337</f>
        <v>335</v>
      </c>
      <c r="B337" s="8" t="s">
        <v>98</v>
      </c>
      <c r="C337" s="7" t="s">
        <v>97</v>
      </c>
      <c r="D337" s="8" t="s">
        <v>98</v>
      </c>
      <c r="E337" s="8" t="s">
        <v>98</v>
      </c>
      <c r="F337" s="8" t="s">
        <v>98</v>
      </c>
      <c r="G337" s="8" t="s">
        <v>98</v>
      </c>
      <c r="H337" s="7" t="s">
        <v>97</v>
      </c>
      <c r="I337" s="8" t="s">
        <v>98</v>
      </c>
      <c r="J337" s="8" t="s">
        <v>98</v>
      </c>
      <c r="K337" s="8" t="s">
        <v>98</v>
      </c>
      <c r="L337" s="7" t="s">
        <v>97</v>
      </c>
      <c r="M337" s="8" t="s">
        <v>98</v>
      </c>
      <c r="N337" s="8" t="s">
        <v>98</v>
      </c>
      <c r="O337" s="8" t="s">
        <v>98</v>
      </c>
      <c r="P337" s="8" t="s">
        <v>98</v>
      </c>
      <c r="Q337" s="8" t="s">
        <v>98</v>
      </c>
      <c r="R337" s="8" t="s">
        <v>98</v>
      </c>
      <c r="S337" s="8" t="s">
        <v>98</v>
      </c>
    </row>
    <row r="338" spans="1:19" ht="15.75" x14ac:dyDescent="0.25">
      <c r="A338" s="6">
        <f>Questionnaire!A338</f>
        <v>336</v>
      </c>
      <c r="B338" s="8" t="s">
        <v>98</v>
      </c>
      <c r="C338" s="7" t="s">
        <v>97</v>
      </c>
      <c r="D338" s="8" t="s">
        <v>98</v>
      </c>
      <c r="E338" s="8" t="s">
        <v>98</v>
      </c>
      <c r="F338" s="8" t="s">
        <v>98</v>
      </c>
      <c r="G338" s="8" t="s">
        <v>98</v>
      </c>
      <c r="H338" s="7" t="s">
        <v>97</v>
      </c>
      <c r="I338" s="8" t="s">
        <v>98</v>
      </c>
      <c r="J338" s="8" t="s">
        <v>98</v>
      </c>
      <c r="K338" s="7" t="s">
        <v>97</v>
      </c>
      <c r="L338" s="7" t="s">
        <v>97</v>
      </c>
      <c r="M338" s="8" t="s">
        <v>98</v>
      </c>
      <c r="N338" s="8" t="s">
        <v>98</v>
      </c>
      <c r="O338" s="8" t="s">
        <v>98</v>
      </c>
      <c r="P338" s="8" t="s">
        <v>98</v>
      </c>
      <c r="Q338" s="8" t="s">
        <v>98</v>
      </c>
      <c r="R338" s="8" t="s">
        <v>98</v>
      </c>
      <c r="S338" s="8" t="s">
        <v>98</v>
      </c>
    </row>
    <row r="339" spans="1:19" ht="15.75" x14ac:dyDescent="0.25">
      <c r="A339" s="6">
        <f>Questionnaire!A339</f>
        <v>337</v>
      </c>
      <c r="B339" s="8" t="s">
        <v>98</v>
      </c>
      <c r="C339" s="8" t="s">
        <v>98</v>
      </c>
      <c r="D339" s="7" t="s">
        <v>97</v>
      </c>
      <c r="E339" s="7" t="s">
        <v>97</v>
      </c>
      <c r="F339" s="8" t="s">
        <v>98</v>
      </c>
      <c r="G339" s="8" t="s">
        <v>98</v>
      </c>
      <c r="H339" s="8" t="s">
        <v>98</v>
      </c>
      <c r="I339" s="7" t="s">
        <v>97</v>
      </c>
      <c r="J339" s="8" t="s">
        <v>98</v>
      </c>
      <c r="K339" s="8" t="s">
        <v>98</v>
      </c>
      <c r="L339" s="7" t="s">
        <v>97</v>
      </c>
      <c r="M339" s="8" t="s">
        <v>98</v>
      </c>
      <c r="N339" s="7" t="s">
        <v>97</v>
      </c>
      <c r="O339" s="8" t="s">
        <v>98</v>
      </c>
      <c r="P339" s="8" t="s">
        <v>98</v>
      </c>
      <c r="Q339" s="8" t="s">
        <v>98</v>
      </c>
      <c r="R339" s="8" t="s">
        <v>98</v>
      </c>
      <c r="S339" s="8" t="s">
        <v>98</v>
      </c>
    </row>
    <row r="340" spans="1:19" ht="15.75" x14ac:dyDescent="0.25">
      <c r="A340" s="6">
        <f>Questionnaire!A340</f>
        <v>338</v>
      </c>
      <c r="B340" s="8" t="s">
        <v>98</v>
      </c>
      <c r="C340" s="7" t="s">
        <v>97</v>
      </c>
      <c r="D340" s="7" t="s">
        <v>97</v>
      </c>
      <c r="E340" s="8" t="s">
        <v>98</v>
      </c>
      <c r="F340" s="8" t="s">
        <v>98</v>
      </c>
      <c r="G340" s="7" t="s">
        <v>97</v>
      </c>
      <c r="H340" s="8" t="s">
        <v>98</v>
      </c>
      <c r="I340" s="7" t="s">
        <v>97</v>
      </c>
      <c r="J340" s="8" t="s">
        <v>98</v>
      </c>
      <c r="K340" s="7" t="s">
        <v>97</v>
      </c>
      <c r="L340" s="8" t="s">
        <v>98</v>
      </c>
      <c r="M340" s="8" t="s">
        <v>98</v>
      </c>
      <c r="N340" s="8" t="s">
        <v>98</v>
      </c>
      <c r="O340" s="8" t="s">
        <v>98</v>
      </c>
      <c r="P340" s="8" t="s">
        <v>98</v>
      </c>
      <c r="Q340" s="8" t="s">
        <v>98</v>
      </c>
      <c r="R340" s="8" t="s">
        <v>98</v>
      </c>
      <c r="S340" s="8" t="s">
        <v>98</v>
      </c>
    </row>
    <row r="341" spans="1:19" ht="15.75" x14ac:dyDescent="0.25">
      <c r="A341" s="6">
        <f>Questionnaire!A341</f>
        <v>339</v>
      </c>
      <c r="B341" s="8" t="s">
        <v>98</v>
      </c>
      <c r="C341" s="8" t="s">
        <v>98</v>
      </c>
      <c r="D341" s="8" t="s">
        <v>98</v>
      </c>
      <c r="E341" s="8" t="s">
        <v>98</v>
      </c>
      <c r="F341" s="8" t="s">
        <v>98</v>
      </c>
      <c r="G341" s="7" t="s">
        <v>97</v>
      </c>
      <c r="H341" s="7" t="s">
        <v>97</v>
      </c>
      <c r="I341" s="8" t="s">
        <v>98</v>
      </c>
      <c r="J341" s="8" t="s">
        <v>98</v>
      </c>
      <c r="K341" s="8" t="s">
        <v>98</v>
      </c>
      <c r="L341" s="8" t="s">
        <v>98</v>
      </c>
      <c r="M341" s="8" t="s">
        <v>98</v>
      </c>
      <c r="N341" s="8" t="s">
        <v>98</v>
      </c>
      <c r="O341" s="8" t="s">
        <v>98</v>
      </c>
      <c r="P341" s="8" t="s">
        <v>98</v>
      </c>
      <c r="Q341" s="8" t="s">
        <v>98</v>
      </c>
      <c r="R341" s="8" t="s">
        <v>98</v>
      </c>
      <c r="S341" s="8" t="s">
        <v>98</v>
      </c>
    </row>
    <row r="342" spans="1:19" ht="15.75" x14ac:dyDescent="0.25">
      <c r="A342" s="6">
        <f>Questionnaire!A342</f>
        <v>340</v>
      </c>
      <c r="B342" s="8" t="s">
        <v>98</v>
      </c>
      <c r="C342" s="7" t="s">
        <v>97</v>
      </c>
      <c r="D342" s="7" t="s">
        <v>97</v>
      </c>
      <c r="E342" s="8" t="s">
        <v>98</v>
      </c>
      <c r="F342" s="8" t="s">
        <v>98</v>
      </c>
      <c r="G342" s="8" t="s">
        <v>98</v>
      </c>
      <c r="H342" s="7" t="s">
        <v>97</v>
      </c>
      <c r="I342" s="8" t="s">
        <v>98</v>
      </c>
      <c r="J342" s="8" t="s">
        <v>98</v>
      </c>
      <c r="K342" s="8" t="s">
        <v>98</v>
      </c>
      <c r="L342" s="8" t="s">
        <v>98</v>
      </c>
      <c r="M342" s="8" t="s">
        <v>98</v>
      </c>
      <c r="N342" s="8" t="s">
        <v>98</v>
      </c>
      <c r="O342" s="8" t="s">
        <v>98</v>
      </c>
      <c r="P342" s="8" t="s">
        <v>98</v>
      </c>
      <c r="Q342" s="8" t="s">
        <v>98</v>
      </c>
      <c r="R342" s="8" t="s">
        <v>98</v>
      </c>
      <c r="S342" s="8" t="s">
        <v>98</v>
      </c>
    </row>
    <row r="343" spans="1:19" ht="15.75" x14ac:dyDescent="0.25">
      <c r="A343" s="6">
        <f>Questionnaire!A343</f>
        <v>341</v>
      </c>
      <c r="B343" s="8" t="s">
        <v>98</v>
      </c>
      <c r="C343" s="7" t="s">
        <v>97</v>
      </c>
      <c r="D343" s="7" t="s">
        <v>97</v>
      </c>
      <c r="E343" s="8" t="s">
        <v>98</v>
      </c>
      <c r="F343" s="8" t="s">
        <v>98</v>
      </c>
      <c r="G343" s="8" t="s">
        <v>98</v>
      </c>
      <c r="H343" s="8" t="s">
        <v>98</v>
      </c>
      <c r="I343" s="7" t="s">
        <v>97</v>
      </c>
      <c r="J343" s="8" t="s">
        <v>98</v>
      </c>
      <c r="K343" s="8" t="s">
        <v>98</v>
      </c>
      <c r="L343" s="8" t="s">
        <v>98</v>
      </c>
      <c r="M343" s="8" t="s">
        <v>98</v>
      </c>
      <c r="N343" s="8" t="s">
        <v>98</v>
      </c>
      <c r="O343" s="8" t="s">
        <v>98</v>
      </c>
      <c r="P343" s="8" t="s">
        <v>98</v>
      </c>
      <c r="Q343" s="8" t="s">
        <v>98</v>
      </c>
      <c r="R343" s="8" t="s">
        <v>98</v>
      </c>
      <c r="S343" s="8" t="s">
        <v>98</v>
      </c>
    </row>
    <row r="344" spans="1:19" ht="15.75" x14ac:dyDescent="0.25">
      <c r="A344" s="6">
        <f>Questionnaire!A344</f>
        <v>342</v>
      </c>
      <c r="B344" s="8" t="s">
        <v>98</v>
      </c>
      <c r="C344" s="7" t="s">
        <v>97</v>
      </c>
      <c r="D344" s="8" t="s">
        <v>98</v>
      </c>
      <c r="E344" s="8" t="s">
        <v>98</v>
      </c>
      <c r="F344" s="8" t="s">
        <v>98</v>
      </c>
      <c r="G344" s="8" t="s">
        <v>98</v>
      </c>
      <c r="H344" s="7" t="s">
        <v>97</v>
      </c>
      <c r="I344" s="8" t="s">
        <v>98</v>
      </c>
      <c r="J344" s="8" t="s">
        <v>98</v>
      </c>
      <c r="K344" s="8" t="s">
        <v>98</v>
      </c>
      <c r="L344" s="8" t="s">
        <v>98</v>
      </c>
      <c r="M344" s="8" t="s">
        <v>98</v>
      </c>
      <c r="N344" s="8" t="s">
        <v>98</v>
      </c>
      <c r="O344" s="8" t="s">
        <v>98</v>
      </c>
      <c r="P344" s="8" t="s">
        <v>98</v>
      </c>
      <c r="Q344" s="8" t="s">
        <v>98</v>
      </c>
      <c r="R344" s="8" t="s">
        <v>98</v>
      </c>
      <c r="S344" s="7" t="s">
        <v>97</v>
      </c>
    </row>
    <row r="345" spans="1:19" ht="15.75" x14ac:dyDescent="0.25">
      <c r="A345" s="6">
        <f>Questionnaire!A345</f>
        <v>343</v>
      </c>
      <c r="B345" s="8" t="s">
        <v>98</v>
      </c>
      <c r="C345" s="7" t="s">
        <v>97</v>
      </c>
      <c r="D345" s="8" t="s">
        <v>98</v>
      </c>
      <c r="E345" s="8" t="s">
        <v>98</v>
      </c>
      <c r="F345" s="8" t="s">
        <v>98</v>
      </c>
      <c r="G345" s="8" t="s">
        <v>98</v>
      </c>
      <c r="H345" s="7" t="s">
        <v>97</v>
      </c>
      <c r="I345" s="8" t="s">
        <v>98</v>
      </c>
      <c r="J345" s="8" t="s">
        <v>98</v>
      </c>
      <c r="K345" s="8" t="s">
        <v>98</v>
      </c>
      <c r="L345" s="7" t="s">
        <v>97</v>
      </c>
      <c r="M345" s="8" t="s">
        <v>98</v>
      </c>
      <c r="N345" s="8" t="s">
        <v>98</v>
      </c>
      <c r="O345" s="8" t="s">
        <v>98</v>
      </c>
      <c r="P345" s="8" t="s">
        <v>98</v>
      </c>
      <c r="Q345" s="8" t="s">
        <v>98</v>
      </c>
      <c r="R345" s="7" t="s">
        <v>97</v>
      </c>
      <c r="S345" s="8" t="s">
        <v>98</v>
      </c>
    </row>
    <row r="346" spans="1:19" ht="15.75" x14ac:dyDescent="0.25">
      <c r="A346" s="6">
        <f>Questionnaire!A346</f>
        <v>344</v>
      </c>
      <c r="B346" s="57" t="s">
        <v>98</v>
      </c>
      <c r="C346" s="57" t="s">
        <v>97</v>
      </c>
      <c r="D346" s="57" t="s">
        <v>98</v>
      </c>
      <c r="E346" s="57" t="s">
        <v>98</v>
      </c>
      <c r="F346" s="57" t="s">
        <v>98</v>
      </c>
      <c r="G346" s="57" t="s">
        <v>98</v>
      </c>
      <c r="H346" s="57" t="s">
        <v>98</v>
      </c>
      <c r="I346" s="57" t="s">
        <v>98</v>
      </c>
      <c r="J346" s="57" t="s">
        <v>98</v>
      </c>
      <c r="K346" s="57" t="s">
        <v>98</v>
      </c>
      <c r="L346" s="57" t="s">
        <v>98</v>
      </c>
      <c r="M346" s="57" t="s">
        <v>98</v>
      </c>
      <c r="N346" s="57" t="s">
        <v>98</v>
      </c>
      <c r="O346" s="57" t="s">
        <v>98</v>
      </c>
      <c r="P346" s="57" t="s">
        <v>98</v>
      </c>
      <c r="Q346" s="57" t="s">
        <v>98</v>
      </c>
      <c r="R346" s="57" t="s">
        <v>98</v>
      </c>
      <c r="S346" s="57" t="s">
        <v>98</v>
      </c>
    </row>
    <row r="347" spans="1:19" ht="15.75" x14ac:dyDescent="0.25">
      <c r="A347" s="6">
        <f>Questionnaire!A347</f>
        <v>345</v>
      </c>
      <c r="B347" s="8" t="s">
        <v>98</v>
      </c>
      <c r="C347" s="7" t="s">
        <v>97</v>
      </c>
      <c r="D347" s="8" t="s">
        <v>98</v>
      </c>
      <c r="E347" s="8" t="s">
        <v>98</v>
      </c>
      <c r="F347" s="8" t="s">
        <v>98</v>
      </c>
      <c r="G347" s="8" t="s">
        <v>98</v>
      </c>
      <c r="H347" s="7" t="s">
        <v>97</v>
      </c>
      <c r="I347" s="8" t="s">
        <v>98</v>
      </c>
      <c r="J347" s="7" t="s">
        <v>97</v>
      </c>
      <c r="K347" s="8" t="s">
        <v>98</v>
      </c>
      <c r="L347" s="8" t="s">
        <v>98</v>
      </c>
      <c r="M347" s="8" t="s">
        <v>98</v>
      </c>
      <c r="N347" s="8" t="s">
        <v>98</v>
      </c>
      <c r="O347" s="8" t="s">
        <v>98</v>
      </c>
      <c r="P347" s="8" t="s">
        <v>98</v>
      </c>
      <c r="Q347" s="8" t="s">
        <v>98</v>
      </c>
      <c r="R347" s="8" t="s">
        <v>98</v>
      </c>
      <c r="S347" s="8" t="s">
        <v>98</v>
      </c>
    </row>
    <row r="348" spans="1:19" ht="15.75" x14ac:dyDescent="0.25">
      <c r="A348" s="6">
        <f>Questionnaire!A348</f>
        <v>346</v>
      </c>
      <c r="B348" s="8" t="s">
        <v>98</v>
      </c>
      <c r="C348" s="7" t="s">
        <v>97</v>
      </c>
      <c r="D348" s="7" t="s">
        <v>97</v>
      </c>
      <c r="E348" s="8" t="s">
        <v>98</v>
      </c>
      <c r="F348" s="8" t="s">
        <v>98</v>
      </c>
      <c r="G348" s="8" t="s">
        <v>98</v>
      </c>
      <c r="H348" s="7" t="s">
        <v>97</v>
      </c>
      <c r="I348" s="8" t="s">
        <v>98</v>
      </c>
      <c r="J348" s="8" t="s">
        <v>98</v>
      </c>
      <c r="K348" s="8" t="s">
        <v>98</v>
      </c>
      <c r="L348" s="8" t="s">
        <v>98</v>
      </c>
      <c r="M348" s="8" t="s">
        <v>98</v>
      </c>
      <c r="N348" s="8" t="s">
        <v>98</v>
      </c>
      <c r="O348" s="8" t="s">
        <v>98</v>
      </c>
      <c r="P348" s="8" t="s">
        <v>98</v>
      </c>
      <c r="Q348" s="8" t="s">
        <v>98</v>
      </c>
      <c r="R348" s="8" t="s">
        <v>98</v>
      </c>
      <c r="S348" s="7" t="s">
        <v>97</v>
      </c>
    </row>
    <row r="349" spans="1:19" ht="15.75" x14ac:dyDescent="0.25">
      <c r="A349" s="6">
        <f>Questionnaire!A349</f>
        <v>347</v>
      </c>
      <c r="B349" s="8" t="s">
        <v>98</v>
      </c>
      <c r="C349" s="8" t="s">
        <v>98</v>
      </c>
      <c r="D349" s="8" t="s">
        <v>98</v>
      </c>
      <c r="E349" s="8" t="s">
        <v>98</v>
      </c>
      <c r="F349" s="8" t="s">
        <v>98</v>
      </c>
      <c r="G349" s="7" t="s">
        <v>97</v>
      </c>
      <c r="H349" s="7" t="s">
        <v>97</v>
      </c>
      <c r="I349" s="8" t="s">
        <v>98</v>
      </c>
      <c r="J349" s="8" t="s">
        <v>98</v>
      </c>
      <c r="K349" s="8" t="s">
        <v>98</v>
      </c>
      <c r="L349" s="8" t="s">
        <v>98</v>
      </c>
      <c r="M349" s="8" t="s">
        <v>98</v>
      </c>
      <c r="N349" s="8" t="s">
        <v>98</v>
      </c>
      <c r="O349" s="8" t="s">
        <v>98</v>
      </c>
      <c r="P349" s="8" t="s">
        <v>98</v>
      </c>
      <c r="Q349" s="8" t="s">
        <v>98</v>
      </c>
      <c r="R349" s="8" t="s">
        <v>98</v>
      </c>
      <c r="S349" s="8" t="s">
        <v>98</v>
      </c>
    </row>
    <row r="350" spans="1:19" ht="15.75" x14ac:dyDescent="0.25">
      <c r="A350" s="6">
        <f>Questionnaire!A350</f>
        <v>348</v>
      </c>
      <c r="B350" s="8" t="s">
        <v>98</v>
      </c>
      <c r="C350" s="7" t="s">
        <v>97</v>
      </c>
      <c r="D350" s="8" t="s">
        <v>98</v>
      </c>
      <c r="E350" s="8" t="s">
        <v>98</v>
      </c>
      <c r="F350" s="8" t="s">
        <v>98</v>
      </c>
      <c r="G350" s="7" t="s">
        <v>97</v>
      </c>
      <c r="H350" s="8" t="s">
        <v>98</v>
      </c>
      <c r="I350" s="7" t="s">
        <v>97</v>
      </c>
      <c r="J350" s="8" t="s">
        <v>98</v>
      </c>
      <c r="K350" s="8" t="s">
        <v>98</v>
      </c>
      <c r="L350" s="7" t="s">
        <v>97</v>
      </c>
      <c r="M350" s="8" t="s">
        <v>98</v>
      </c>
      <c r="N350" s="8" t="s">
        <v>98</v>
      </c>
      <c r="O350" s="8" t="s">
        <v>98</v>
      </c>
      <c r="P350" s="8" t="s">
        <v>98</v>
      </c>
      <c r="Q350" s="8" t="s">
        <v>98</v>
      </c>
      <c r="R350" s="8" t="s">
        <v>98</v>
      </c>
      <c r="S350" s="8" t="s">
        <v>98</v>
      </c>
    </row>
    <row r="351" spans="1:19" ht="15.75" x14ac:dyDescent="0.25">
      <c r="A351" s="6">
        <f>Questionnaire!A351</f>
        <v>349</v>
      </c>
      <c r="B351" s="8" t="s">
        <v>98</v>
      </c>
      <c r="C351" s="8" t="s">
        <v>98</v>
      </c>
      <c r="D351" s="8" t="s">
        <v>98</v>
      </c>
      <c r="E351" s="8" t="s">
        <v>98</v>
      </c>
      <c r="F351" s="8" t="s">
        <v>98</v>
      </c>
      <c r="G351" s="7" t="s">
        <v>97</v>
      </c>
      <c r="H351" s="7" t="s">
        <v>97</v>
      </c>
      <c r="I351" s="8" t="s">
        <v>98</v>
      </c>
      <c r="J351" s="8" t="s">
        <v>98</v>
      </c>
      <c r="K351" s="7" t="s">
        <v>97</v>
      </c>
      <c r="L351" s="7" t="s">
        <v>97</v>
      </c>
      <c r="M351" s="8" t="s">
        <v>98</v>
      </c>
      <c r="N351" s="8" t="s">
        <v>98</v>
      </c>
      <c r="O351" s="8" t="s">
        <v>98</v>
      </c>
      <c r="P351" s="8" t="s">
        <v>98</v>
      </c>
      <c r="Q351" s="8" t="s">
        <v>98</v>
      </c>
      <c r="R351" s="8" t="s">
        <v>98</v>
      </c>
      <c r="S351" s="8" t="s">
        <v>98</v>
      </c>
    </row>
    <row r="352" spans="1:19" ht="15.75" x14ac:dyDescent="0.25">
      <c r="A352" s="6">
        <f>Questionnaire!A352</f>
        <v>350</v>
      </c>
      <c r="B352" s="8" t="s">
        <v>98</v>
      </c>
      <c r="C352" s="7" t="s">
        <v>97</v>
      </c>
      <c r="D352" s="8" t="s">
        <v>98</v>
      </c>
      <c r="E352" s="8" t="s">
        <v>98</v>
      </c>
      <c r="F352" s="8" t="s">
        <v>98</v>
      </c>
      <c r="G352" s="7" t="s">
        <v>97</v>
      </c>
      <c r="H352" s="7" t="s">
        <v>97</v>
      </c>
      <c r="I352" s="8" t="s">
        <v>98</v>
      </c>
      <c r="J352" s="7" t="s">
        <v>97</v>
      </c>
      <c r="K352" s="8" t="s">
        <v>98</v>
      </c>
      <c r="L352" s="8" t="s">
        <v>98</v>
      </c>
      <c r="M352" s="8" t="s">
        <v>98</v>
      </c>
      <c r="N352" s="8" t="s">
        <v>98</v>
      </c>
      <c r="O352" s="8" t="s">
        <v>98</v>
      </c>
      <c r="P352" s="8" t="s">
        <v>98</v>
      </c>
      <c r="Q352" s="8" t="s">
        <v>98</v>
      </c>
      <c r="R352" s="8" t="s">
        <v>98</v>
      </c>
      <c r="S352" s="8" t="s">
        <v>98</v>
      </c>
    </row>
    <row r="353" spans="1:19" ht="15.75" x14ac:dyDescent="0.25">
      <c r="A353" s="6">
        <f>Questionnaire!A353</f>
        <v>351</v>
      </c>
      <c r="B353" s="8" t="s">
        <v>98</v>
      </c>
      <c r="C353" s="7" t="s">
        <v>97</v>
      </c>
      <c r="D353" s="8" t="s">
        <v>98</v>
      </c>
      <c r="E353" s="8" t="s">
        <v>98</v>
      </c>
      <c r="F353" s="8" t="s">
        <v>98</v>
      </c>
      <c r="G353" s="8" t="s">
        <v>98</v>
      </c>
      <c r="H353" s="7" t="s">
        <v>97</v>
      </c>
      <c r="I353" s="8" t="s">
        <v>98</v>
      </c>
      <c r="J353" s="8" t="s">
        <v>98</v>
      </c>
      <c r="K353" s="8" t="s">
        <v>98</v>
      </c>
      <c r="L353" s="8" t="s">
        <v>98</v>
      </c>
      <c r="M353" s="8" t="s">
        <v>98</v>
      </c>
      <c r="N353" s="8" t="s">
        <v>98</v>
      </c>
      <c r="O353" s="8" t="s">
        <v>98</v>
      </c>
      <c r="P353" s="8" t="s">
        <v>98</v>
      </c>
      <c r="Q353" s="8" t="s">
        <v>98</v>
      </c>
      <c r="R353" s="8" t="s">
        <v>98</v>
      </c>
      <c r="S353" s="8" t="s">
        <v>98</v>
      </c>
    </row>
    <row r="354" spans="1:19" ht="15.75" x14ac:dyDescent="0.25">
      <c r="A354" s="6">
        <f>Questionnaire!A354</f>
        <v>352</v>
      </c>
      <c r="B354" s="8" t="s">
        <v>98</v>
      </c>
      <c r="C354" s="7" t="s">
        <v>97</v>
      </c>
      <c r="D354" s="8" t="s">
        <v>98</v>
      </c>
      <c r="E354" s="8" t="s">
        <v>98</v>
      </c>
      <c r="F354" s="8" t="s">
        <v>98</v>
      </c>
      <c r="G354" s="8" t="s">
        <v>98</v>
      </c>
      <c r="H354" s="7" t="s">
        <v>97</v>
      </c>
      <c r="I354" s="8" t="s">
        <v>98</v>
      </c>
      <c r="J354" s="8" t="s">
        <v>98</v>
      </c>
      <c r="K354" s="8" t="s">
        <v>98</v>
      </c>
      <c r="L354" s="8" t="s">
        <v>98</v>
      </c>
      <c r="M354" s="8" t="s">
        <v>98</v>
      </c>
      <c r="N354" s="8" t="s">
        <v>98</v>
      </c>
      <c r="O354" s="8" t="s">
        <v>98</v>
      </c>
      <c r="P354" s="8" t="s">
        <v>98</v>
      </c>
      <c r="Q354" s="8" t="s">
        <v>98</v>
      </c>
      <c r="R354" s="8" t="s">
        <v>98</v>
      </c>
      <c r="S354" s="8" t="s">
        <v>98</v>
      </c>
    </row>
    <row r="355" spans="1:19" ht="15.75" x14ac:dyDescent="0.25">
      <c r="A355" s="6">
        <f>Questionnaire!A355</f>
        <v>353</v>
      </c>
      <c r="B355" s="8" t="s">
        <v>98</v>
      </c>
      <c r="C355" s="7" t="s">
        <v>97</v>
      </c>
      <c r="D355" s="8" t="s">
        <v>98</v>
      </c>
      <c r="E355" s="8" t="s">
        <v>98</v>
      </c>
      <c r="F355" s="8" t="s">
        <v>98</v>
      </c>
      <c r="G355" s="8" t="s">
        <v>98</v>
      </c>
      <c r="H355" s="7" t="s">
        <v>97</v>
      </c>
      <c r="I355" s="8" t="s">
        <v>98</v>
      </c>
      <c r="J355" s="7" t="s">
        <v>97</v>
      </c>
      <c r="K355" s="7" t="s">
        <v>97</v>
      </c>
      <c r="L355" s="8" t="s">
        <v>98</v>
      </c>
      <c r="M355" s="8" t="s">
        <v>98</v>
      </c>
      <c r="N355" s="8" t="s">
        <v>98</v>
      </c>
      <c r="O355" s="8" t="s">
        <v>98</v>
      </c>
      <c r="P355" s="8" t="s">
        <v>98</v>
      </c>
      <c r="Q355" s="8" t="s">
        <v>98</v>
      </c>
      <c r="R355" s="8" t="s">
        <v>98</v>
      </c>
      <c r="S355" s="8" t="s">
        <v>98</v>
      </c>
    </row>
    <row r="356" spans="1:19" ht="15.75" x14ac:dyDescent="0.25">
      <c r="A356" s="6">
        <f>Questionnaire!A356</f>
        <v>354</v>
      </c>
      <c r="B356" s="8" t="s">
        <v>98</v>
      </c>
      <c r="C356" s="7" t="s">
        <v>97</v>
      </c>
      <c r="D356" s="7" t="s">
        <v>97</v>
      </c>
      <c r="E356" s="8" t="s">
        <v>98</v>
      </c>
      <c r="F356" s="8" t="s">
        <v>98</v>
      </c>
      <c r="G356" s="8" t="s">
        <v>98</v>
      </c>
      <c r="H356" s="7" t="s">
        <v>97</v>
      </c>
      <c r="I356" s="8" t="s">
        <v>98</v>
      </c>
      <c r="J356" s="7" t="s">
        <v>97</v>
      </c>
      <c r="K356" s="8" t="s">
        <v>98</v>
      </c>
      <c r="L356" s="8" t="s">
        <v>98</v>
      </c>
      <c r="M356" s="8" t="s">
        <v>98</v>
      </c>
      <c r="N356" s="8" t="s">
        <v>98</v>
      </c>
      <c r="O356" s="8" t="s">
        <v>98</v>
      </c>
      <c r="P356" s="8" t="s">
        <v>98</v>
      </c>
      <c r="Q356" s="8" t="s">
        <v>98</v>
      </c>
      <c r="R356" s="8" t="s">
        <v>98</v>
      </c>
      <c r="S356" s="8" t="s">
        <v>98</v>
      </c>
    </row>
    <row r="357" spans="1:19" ht="15.75" x14ac:dyDescent="0.25">
      <c r="A357" s="6">
        <f>Questionnaire!A357</f>
        <v>355</v>
      </c>
      <c r="B357" s="8" t="s">
        <v>98</v>
      </c>
      <c r="C357" s="7" t="s">
        <v>97</v>
      </c>
      <c r="D357" s="7" t="s">
        <v>97</v>
      </c>
      <c r="E357" s="8" t="s">
        <v>98</v>
      </c>
      <c r="F357" s="8" t="s">
        <v>98</v>
      </c>
      <c r="G357" s="8" t="s">
        <v>98</v>
      </c>
      <c r="H357" s="7" t="s">
        <v>97</v>
      </c>
      <c r="I357" s="8" t="s">
        <v>98</v>
      </c>
      <c r="J357" s="8" t="s">
        <v>98</v>
      </c>
      <c r="K357" s="7" t="s">
        <v>97</v>
      </c>
      <c r="L357" s="7" t="s">
        <v>97</v>
      </c>
      <c r="M357" s="8" t="s">
        <v>98</v>
      </c>
      <c r="N357" s="8" t="s">
        <v>98</v>
      </c>
      <c r="O357" s="8" t="s">
        <v>98</v>
      </c>
      <c r="P357" s="8" t="s">
        <v>98</v>
      </c>
      <c r="Q357" s="8" t="s">
        <v>98</v>
      </c>
      <c r="R357" s="8" t="s">
        <v>98</v>
      </c>
      <c r="S357" s="8" t="s">
        <v>98</v>
      </c>
    </row>
    <row r="358" spans="1:19" ht="15.75" x14ac:dyDescent="0.25">
      <c r="A358" s="6">
        <f>Questionnaire!A358</f>
        <v>356</v>
      </c>
      <c r="B358" s="8" t="s">
        <v>98</v>
      </c>
      <c r="C358" s="7" t="s">
        <v>97</v>
      </c>
      <c r="D358" s="7" t="s">
        <v>97</v>
      </c>
      <c r="E358" s="8" t="s">
        <v>98</v>
      </c>
      <c r="F358" s="8" t="s">
        <v>98</v>
      </c>
      <c r="G358" s="8" t="s">
        <v>98</v>
      </c>
      <c r="H358" s="7" t="s">
        <v>97</v>
      </c>
      <c r="I358" s="8" t="s">
        <v>98</v>
      </c>
      <c r="J358" s="8" t="s">
        <v>98</v>
      </c>
      <c r="K358" s="8" t="s">
        <v>98</v>
      </c>
      <c r="L358" s="7" t="s">
        <v>97</v>
      </c>
      <c r="M358" s="8" t="s">
        <v>98</v>
      </c>
      <c r="N358" s="8" t="s">
        <v>98</v>
      </c>
      <c r="O358" s="8" t="s">
        <v>98</v>
      </c>
      <c r="P358" s="8" t="s">
        <v>98</v>
      </c>
      <c r="Q358" s="8" t="s">
        <v>98</v>
      </c>
      <c r="R358" s="8" t="s">
        <v>98</v>
      </c>
      <c r="S358" s="8" t="s">
        <v>98</v>
      </c>
    </row>
    <row r="359" spans="1:19" ht="15.75" x14ac:dyDescent="0.25">
      <c r="A359" s="6">
        <f>Questionnaire!A359</f>
        <v>357</v>
      </c>
      <c r="B359" s="8" t="s">
        <v>98</v>
      </c>
      <c r="C359" s="7" t="s">
        <v>97</v>
      </c>
      <c r="D359" s="8" t="s">
        <v>98</v>
      </c>
      <c r="E359" s="8" t="s">
        <v>98</v>
      </c>
      <c r="F359" s="8" t="s">
        <v>98</v>
      </c>
      <c r="G359" s="8" t="s">
        <v>98</v>
      </c>
      <c r="H359" s="8" t="s">
        <v>98</v>
      </c>
      <c r="I359" s="7" t="s">
        <v>97</v>
      </c>
      <c r="J359" s="7" t="s">
        <v>97</v>
      </c>
      <c r="K359" s="8" t="s">
        <v>98</v>
      </c>
      <c r="L359" s="8" t="s">
        <v>98</v>
      </c>
      <c r="M359" s="7" t="s">
        <v>97</v>
      </c>
      <c r="N359" s="8" t="s">
        <v>98</v>
      </c>
      <c r="O359" s="8" t="s">
        <v>98</v>
      </c>
      <c r="P359" s="8" t="s">
        <v>98</v>
      </c>
      <c r="Q359" s="8" t="s">
        <v>98</v>
      </c>
      <c r="R359" s="8" t="s">
        <v>98</v>
      </c>
      <c r="S359" s="8" t="s">
        <v>98</v>
      </c>
    </row>
    <row r="360" spans="1:19" ht="15.75" x14ac:dyDescent="0.25">
      <c r="A360" s="6">
        <f>Questionnaire!A360</f>
        <v>358</v>
      </c>
      <c r="B360" s="8" t="s">
        <v>98</v>
      </c>
      <c r="C360" s="8" t="s">
        <v>98</v>
      </c>
      <c r="D360" s="8" t="s">
        <v>98</v>
      </c>
      <c r="E360" s="8" t="s">
        <v>98</v>
      </c>
      <c r="F360" s="8" t="s">
        <v>98</v>
      </c>
      <c r="G360" s="7" t="s">
        <v>97</v>
      </c>
      <c r="H360" s="7" t="s">
        <v>97</v>
      </c>
      <c r="I360" s="8" t="s">
        <v>98</v>
      </c>
      <c r="J360" s="8" t="s">
        <v>98</v>
      </c>
      <c r="K360" s="8" t="s">
        <v>98</v>
      </c>
      <c r="L360" s="8" t="s">
        <v>98</v>
      </c>
      <c r="M360" s="8" t="s">
        <v>98</v>
      </c>
      <c r="N360" s="8" t="s">
        <v>98</v>
      </c>
      <c r="O360" s="8" t="s">
        <v>98</v>
      </c>
      <c r="P360" s="8" t="s">
        <v>98</v>
      </c>
      <c r="Q360" s="8" t="s">
        <v>98</v>
      </c>
      <c r="R360" s="8" t="s">
        <v>98</v>
      </c>
      <c r="S360" s="8" t="s">
        <v>98</v>
      </c>
    </row>
    <row r="361" spans="1:19" ht="15.75" x14ac:dyDescent="0.25">
      <c r="A361" s="6">
        <f>Questionnaire!A361</f>
        <v>359</v>
      </c>
      <c r="B361" s="8" t="s">
        <v>98</v>
      </c>
      <c r="C361" s="7" t="s">
        <v>97</v>
      </c>
      <c r="D361" s="8" t="s">
        <v>98</v>
      </c>
      <c r="E361" s="8" t="s">
        <v>98</v>
      </c>
      <c r="F361" s="8" t="s">
        <v>98</v>
      </c>
      <c r="G361" s="8" t="s">
        <v>98</v>
      </c>
      <c r="H361" s="8" t="s">
        <v>98</v>
      </c>
      <c r="I361" s="8" t="s">
        <v>98</v>
      </c>
      <c r="J361" s="7" t="s">
        <v>97</v>
      </c>
      <c r="K361" s="7" t="s">
        <v>97</v>
      </c>
      <c r="L361" s="8" t="s">
        <v>98</v>
      </c>
      <c r="M361" s="8" t="s">
        <v>98</v>
      </c>
      <c r="N361" s="7" t="s">
        <v>97</v>
      </c>
      <c r="O361" s="8" t="s">
        <v>98</v>
      </c>
      <c r="P361" s="8" t="s">
        <v>98</v>
      </c>
      <c r="Q361" s="8" t="s">
        <v>98</v>
      </c>
      <c r="R361" s="8" t="s">
        <v>98</v>
      </c>
      <c r="S361" s="7" t="s">
        <v>97</v>
      </c>
    </row>
    <row r="362" spans="1:19" ht="15.75" x14ac:dyDescent="0.25">
      <c r="A362" s="6">
        <f>Questionnaire!A362</f>
        <v>360</v>
      </c>
      <c r="B362" s="8" t="s">
        <v>98</v>
      </c>
      <c r="C362" s="7" t="s">
        <v>97</v>
      </c>
      <c r="D362" s="7" t="s">
        <v>97</v>
      </c>
      <c r="E362" s="8" t="s">
        <v>98</v>
      </c>
      <c r="F362" s="8" t="s">
        <v>98</v>
      </c>
      <c r="G362" s="8" t="s">
        <v>98</v>
      </c>
      <c r="H362" s="8" t="s">
        <v>98</v>
      </c>
      <c r="I362" s="8" t="s">
        <v>98</v>
      </c>
      <c r="J362" s="7" t="s">
        <v>97</v>
      </c>
      <c r="K362" s="7" t="s">
        <v>97</v>
      </c>
      <c r="L362" s="8" t="s">
        <v>98</v>
      </c>
      <c r="M362" s="8" t="s">
        <v>98</v>
      </c>
      <c r="N362" s="8" t="s">
        <v>98</v>
      </c>
      <c r="O362" s="8" t="s">
        <v>98</v>
      </c>
      <c r="P362" s="8" t="s">
        <v>98</v>
      </c>
      <c r="Q362" s="8" t="s">
        <v>98</v>
      </c>
      <c r="R362" s="8" t="s">
        <v>98</v>
      </c>
      <c r="S362" s="8" t="s">
        <v>98</v>
      </c>
    </row>
    <row r="363" spans="1:19" ht="15.75" x14ac:dyDescent="0.25">
      <c r="A363" s="6">
        <f>Questionnaire!A363</f>
        <v>361</v>
      </c>
      <c r="B363" s="8" t="s">
        <v>98</v>
      </c>
      <c r="C363" s="8" t="s">
        <v>98</v>
      </c>
      <c r="D363" s="8" t="s">
        <v>98</v>
      </c>
      <c r="E363" s="8" t="s">
        <v>98</v>
      </c>
      <c r="F363" s="8" t="s">
        <v>98</v>
      </c>
      <c r="G363" s="7" t="s">
        <v>97</v>
      </c>
      <c r="H363" s="8" t="s">
        <v>98</v>
      </c>
      <c r="I363" s="7" t="s">
        <v>97</v>
      </c>
      <c r="J363" s="7" t="s">
        <v>97</v>
      </c>
      <c r="K363" s="8" t="s">
        <v>98</v>
      </c>
      <c r="L363" s="8" t="s">
        <v>98</v>
      </c>
      <c r="M363" s="8" t="s">
        <v>98</v>
      </c>
      <c r="N363" s="8" t="s">
        <v>98</v>
      </c>
      <c r="O363" s="8" t="s">
        <v>98</v>
      </c>
      <c r="P363" s="8" t="s">
        <v>98</v>
      </c>
      <c r="Q363" s="8" t="s">
        <v>98</v>
      </c>
      <c r="R363" s="8" t="s">
        <v>98</v>
      </c>
      <c r="S363" s="8" t="s">
        <v>98</v>
      </c>
    </row>
    <row r="364" spans="1:19" ht="15.75" x14ac:dyDescent="0.25">
      <c r="A364" s="6">
        <f>Questionnaire!A364</f>
        <v>362</v>
      </c>
      <c r="B364" s="8" t="s">
        <v>98</v>
      </c>
      <c r="C364" s="7" t="s">
        <v>97</v>
      </c>
      <c r="D364" s="7" t="s">
        <v>97</v>
      </c>
      <c r="E364" s="8" t="s">
        <v>98</v>
      </c>
      <c r="F364" s="8" t="s">
        <v>98</v>
      </c>
      <c r="G364" s="8" t="s">
        <v>98</v>
      </c>
      <c r="H364" s="7" t="s">
        <v>97</v>
      </c>
      <c r="I364" s="8" t="s">
        <v>98</v>
      </c>
      <c r="J364" s="7" t="s">
        <v>97</v>
      </c>
      <c r="K364" s="8" t="s">
        <v>98</v>
      </c>
      <c r="L364" s="7" t="s">
        <v>97</v>
      </c>
      <c r="M364" s="8" t="s">
        <v>98</v>
      </c>
      <c r="N364" s="8" t="s">
        <v>98</v>
      </c>
      <c r="O364" s="8" t="s">
        <v>98</v>
      </c>
      <c r="P364" s="8" t="s">
        <v>98</v>
      </c>
      <c r="Q364" s="8" t="s">
        <v>98</v>
      </c>
      <c r="R364" s="8" t="s">
        <v>98</v>
      </c>
      <c r="S364" s="8" t="s">
        <v>98</v>
      </c>
    </row>
    <row r="365" spans="1:19" ht="15.75" x14ac:dyDescent="0.25">
      <c r="A365" s="6">
        <f>Questionnaire!A365</f>
        <v>363</v>
      </c>
      <c r="B365" s="8" t="s">
        <v>98</v>
      </c>
      <c r="C365" s="7" t="s">
        <v>97</v>
      </c>
      <c r="D365" s="8" t="s">
        <v>98</v>
      </c>
      <c r="E365" s="8" t="s">
        <v>98</v>
      </c>
      <c r="F365" s="8" t="s">
        <v>98</v>
      </c>
      <c r="G365" s="8" t="s">
        <v>98</v>
      </c>
      <c r="H365" s="7" t="s">
        <v>97</v>
      </c>
      <c r="I365" s="8" t="s">
        <v>98</v>
      </c>
      <c r="J365" s="7" t="s">
        <v>97</v>
      </c>
      <c r="K365" s="8" t="s">
        <v>98</v>
      </c>
      <c r="L365" s="7" t="s">
        <v>97</v>
      </c>
      <c r="M365" s="8" t="s">
        <v>98</v>
      </c>
      <c r="N365" s="8" t="s">
        <v>98</v>
      </c>
      <c r="O365" s="8" t="s">
        <v>98</v>
      </c>
      <c r="P365" s="8" t="s">
        <v>98</v>
      </c>
      <c r="Q365" s="8" t="s">
        <v>98</v>
      </c>
      <c r="R365" s="8" t="s">
        <v>98</v>
      </c>
      <c r="S365" s="8" t="s">
        <v>98</v>
      </c>
    </row>
    <row r="366" spans="1:19" ht="15.75" x14ac:dyDescent="0.25">
      <c r="A366" s="6">
        <f>Questionnaire!A366</f>
        <v>364</v>
      </c>
      <c r="B366" s="8" t="s">
        <v>98</v>
      </c>
      <c r="C366" s="7" t="s">
        <v>97</v>
      </c>
      <c r="D366" s="8" t="s">
        <v>98</v>
      </c>
      <c r="E366" s="8" t="s">
        <v>98</v>
      </c>
      <c r="F366" s="7" t="s">
        <v>97</v>
      </c>
      <c r="G366" s="8" t="s">
        <v>98</v>
      </c>
      <c r="H366" s="8" t="s">
        <v>98</v>
      </c>
      <c r="I366" s="8" t="s">
        <v>98</v>
      </c>
      <c r="J366" s="8" t="s">
        <v>98</v>
      </c>
      <c r="K366" s="8" t="s">
        <v>98</v>
      </c>
      <c r="L366" s="8" t="s">
        <v>98</v>
      </c>
      <c r="M366" s="7" t="s">
        <v>97</v>
      </c>
      <c r="N366" s="8" t="s">
        <v>98</v>
      </c>
      <c r="O366" s="8" t="s">
        <v>98</v>
      </c>
      <c r="P366" s="8" t="s">
        <v>98</v>
      </c>
      <c r="Q366" s="8" t="s">
        <v>98</v>
      </c>
      <c r="R366" s="8" t="s">
        <v>98</v>
      </c>
      <c r="S366" s="8" t="s">
        <v>98</v>
      </c>
    </row>
    <row r="367" spans="1:19" ht="15.75" x14ac:dyDescent="0.25">
      <c r="A367" s="6">
        <f>Questionnaire!A367</f>
        <v>365</v>
      </c>
      <c r="B367" s="8" t="s">
        <v>98</v>
      </c>
      <c r="C367" s="7" t="s">
        <v>97</v>
      </c>
      <c r="D367" s="8" t="s">
        <v>98</v>
      </c>
      <c r="E367" s="8" t="s">
        <v>98</v>
      </c>
      <c r="F367" s="8" t="s">
        <v>98</v>
      </c>
      <c r="G367" s="8" t="s">
        <v>98</v>
      </c>
      <c r="H367" s="8" t="s">
        <v>98</v>
      </c>
      <c r="I367" s="8" t="s">
        <v>98</v>
      </c>
      <c r="J367" s="7" t="s">
        <v>97</v>
      </c>
      <c r="K367" s="8" t="s">
        <v>98</v>
      </c>
      <c r="L367" s="7" t="s">
        <v>97</v>
      </c>
      <c r="M367" s="8" t="s">
        <v>98</v>
      </c>
      <c r="N367" s="8" t="s">
        <v>98</v>
      </c>
      <c r="O367" s="8" t="s">
        <v>98</v>
      </c>
      <c r="P367" s="8" t="s">
        <v>98</v>
      </c>
      <c r="Q367" s="8" t="s">
        <v>98</v>
      </c>
      <c r="R367" s="8" t="s">
        <v>98</v>
      </c>
      <c r="S367" s="8" t="s">
        <v>98</v>
      </c>
    </row>
    <row r="368" spans="1:19" ht="15.75" x14ac:dyDescent="0.25">
      <c r="A368" s="6">
        <f>Questionnaire!A368</f>
        <v>366</v>
      </c>
      <c r="B368" s="8" t="s">
        <v>98</v>
      </c>
      <c r="C368" s="8" t="s">
        <v>98</v>
      </c>
      <c r="D368" s="8" t="s">
        <v>98</v>
      </c>
      <c r="E368" s="8" t="s">
        <v>98</v>
      </c>
      <c r="F368" s="8" t="s">
        <v>98</v>
      </c>
      <c r="G368" s="7" t="s">
        <v>97</v>
      </c>
      <c r="H368" s="7" t="s">
        <v>97</v>
      </c>
      <c r="I368" s="8" t="s">
        <v>98</v>
      </c>
      <c r="J368" s="7" t="s">
        <v>97</v>
      </c>
      <c r="K368" s="8" t="s">
        <v>98</v>
      </c>
      <c r="L368" s="7" t="s">
        <v>97</v>
      </c>
      <c r="M368" s="8" t="s">
        <v>98</v>
      </c>
      <c r="N368" s="8" t="s">
        <v>98</v>
      </c>
      <c r="O368" s="8" t="s">
        <v>98</v>
      </c>
      <c r="P368" s="8" t="s">
        <v>98</v>
      </c>
      <c r="Q368" s="8" t="s">
        <v>98</v>
      </c>
      <c r="R368" s="8" t="s">
        <v>98</v>
      </c>
      <c r="S368" s="8" t="s">
        <v>98</v>
      </c>
    </row>
    <row r="369" spans="1:19" ht="15.75" x14ac:dyDescent="0.25">
      <c r="A369" s="6">
        <f>Questionnaire!A369</f>
        <v>367</v>
      </c>
      <c r="B369" s="8" t="s">
        <v>98</v>
      </c>
      <c r="C369" s="8" t="s">
        <v>98</v>
      </c>
      <c r="D369" s="8" t="s">
        <v>98</v>
      </c>
      <c r="E369" s="8" t="s">
        <v>98</v>
      </c>
      <c r="F369" s="8" t="s">
        <v>98</v>
      </c>
      <c r="G369" s="7" t="s">
        <v>97</v>
      </c>
      <c r="H369" s="7" t="s">
        <v>97</v>
      </c>
      <c r="I369" s="8" t="s">
        <v>98</v>
      </c>
      <c r="J369" s="8" t="s">
        <v>98</v>
      </c>
      <c r="K369" s="8" t="s">
        <v>98</v>
      </c>
      <c r="L369" s="7" t="s">
        <v>97</v>
      </c>
      <c r="M369" s="8" t="s">
        <v>98</v>
      </c>
      <c r="N369" s="8" t="s">
        <v>98</v>
      </c>
      <c r="O369" s="8" t="s">
        <v>98</v>
      </c>
      <c r="P369" s="8" t="s">
        <v>98</v>
      </c>
      <c r="Q369" s="8" t="s">
        <v>98</v>
      </c>
      <c r="R369" s="8" t="s">
        <v>98</v>
      </c>
      <c r="S369" s="8" t="s">
        <v>98</v>
      </c>
    </row>
    <row r="370" spans="1:19" ht="15.75" x14ac:dyDescent="0.25">
      <c r="A370" s="6">
        <f>Questionnaire!A370</f>
        <v>368</v>
      </c>
      <c r="B370" s="8" t="s">
        <v>98</v>
      </c>
      <c r="C370" s="7" t="s">
        <v>97</v>
      </c>
      <c r="D370" s="8" t="s">
        <v>98</v>
      </c>
      <c r="E370" s="8" t="s">
        <v>98</v>
      </c>
      <c r="F370" s="8" t="s">
        <v>98</v>
      </c>
      <c r="G370" s="7" t="s">
        <v>97</v>
      </c>
      <c r="H370" s="8" t="s">
        <v>98</v>
      </c>
      <c r="I370" s="8" t="s">
        <v>98</v>
      </c>
      <c r="J370" s="8" t="s">
        <v>98</v>
      </c>
      <c r="K370" s="7" t="s">
        <v>97</v>
      </c>
      <c r="L370" s="8" t="s">
        <v>98</v>
      </c>
      <c r="M370" s="8" t="s">
        <v>98</v>
      </c>
      <c r="N370" s="8" t="s">
        <v>98</v>
      </c>
      <c r="O370" s="8" t="s">
        <v>98</v>
      </c>
      <c r="P370" s="8" t="s">
        <v>98</v>
      </c>
      <c r="Q370" s="8" t="s">
        <v>98</v>
      </c>
      <c r="R370" s="8" t="s">
        <v>98</v>
      </c>
      <c r="S370" s="8" t="s">
        <v>98</v>
      </c>
    </row>
    <row r="371" spans="1:19" ht="15.75" x14ac:dyDescent="0.25">
      <c r="A371" s="6">
        <f>Questionnaire!A371</f>
        <v>369</v>
      </c>
      <c r="B371" s="8" t="s">
        <v>98</v>
      </c>
      <c r="C371" s="7" t="s">
        <v>97</v>
      </c>
      <c r="D371" s="8" t="s">
        <v>98</v>
      </c>
      <c r="E371" s="8" t="s">
        <v>98</v>
      </c>
      <c r="F371" s="8" t="s">
        <v>98</v>
      </c>
      <c r="G371" s="8" t="s">
        <v>98</v>
      </c>
      <c r="H371" s="7" t="s">
        <v>97</v>
      </c>
      <c r="I371" s="8" t="s">
        <v>98</v>
      </c>
      <c r="J371" s="7" t="s">
        <v>97</v>
      </c>
      <c r="K371" s="8" t="s">
        <v>98</v>
      </c>
      <c r="L371" s="8" t="s">
        <v>98</v>
      </c>
      <c r="M371" s="8" t="s">
        <v>98</v>
      </c>
      <c r="N371" s="8" t="s">
        <v>98</v>
      </c>
      <c r="O371" s="8" t="s">
        <v>98</v>
      </c>
      <c r="P371" s="8" t="s">
        <v>98</v>
      </c>
      <c r="Q371" s="8" t="s">
        <v>98</v>
      </c>
      <c r="R371" s="8" t="s">
        <v>98</v>
      </c>
      <c r="S371" s="8" t="s">
        <v>98</v>
      </c>
    </row>
    <row r="372" spans="1:19" ht="15.75" x14ac:dyDescent="0.25">
      <c r="A372" s="6">
        <f>Questionnaire!A372</f>
        <v>370</v>
      </c>
      <c r="B372" s="8" t="s">
        <v>98</v>
      </c>
      <c r="C372" s="7" t="s">
        <v>97</v>
      </c>
      <c r="D372" s="7" t="s">
        <v>97</v>
      </c>
      <c r="E372" s="8" t="s">
        <v>98</v>
      </c>
      <c r="F372" s="8" t="s">
        <v>98</v>
      </c>
      <c r="G372" s="8" t="s">
        <v>98</v>
      </c>
      <c r="H372" s="7" t="s">
        <v>97</v>
      </c>
      <c r="I372" s="8" t="s">
        <v>98</v>
      </c>
      <c r="J372" s="8" t="s">
        <v>98</v>
      </c>
      <c r="K372" s="8" t="s">
        <v>98</v>
      </c>
      <c r="L372" s="8" t="s">
        <v>98</v>
      </c>
      <c r="M372" s="8" t="s">
        <v>98</v>
      </c>
      <c r="N372" s="8" t="s">
        <v>98</v>
      </c>
      <c r="O372" s="8" t="s">
        <v>98</v>
      </c>
      <c r="P372" s="8" t="s">
        <v>98</v>
      </c>
      <c r="Q372" s="8" t="s">
        <v>98</v>
      </c>
      <c r="R372" s="8" t="s">
        <v>98</v>
      </c>
      <c r="S372" s="7" t="s">
        <v>97</v>
      </c>
    </row>
    <row r="373" spans="1:19" ht="15.75" x14ac:dyDescent="0.25">
      <c r="A373" s="6">
        <f>Questionnaire!A373</f>
        <v>371</v>
      </c>
      <c r="B373" s="8" t="s">
        <v>98</v>
      </c>
      <c r="C373" s="7" t="s">
        <v>97</v>
      </c>
      <c r="D373" s="7" t="s">
        <v>97</v>
      </c>
      <c r="E373" s="8" t="s">
        <v>98</v>
      </c>
      <c r="F373" s="8" t="s">
        <v>98</v>
      </c>
      <c r="G373" s="8" t="s">
        <v>98</v>
      </c>
      <c r="H373" s="8" t="s">
        <v>98</v>
      </c>
      <c r="I373" s="8" t="s">
        <v>98</v>
      </c>
      <c r="J373" s="7" t="s">
        <v>97</v>
      </c>
      <c r="K373" s="7" t="s">
        <v>97</v>
      </c>
      <c r="L373" s="7" t="s">
        <v>97</v>
      </c>
      <c r="M373" s="8" t="s">
        <v>98</v>
      </c>
      <c r="N373" s="8" t="s">
        <v>98</v>
      </c>
      <c r="O373" s="8" t="s">
        <v>98</v>
      </c>
      <c r="P373" s="8" t="s">
        <v>98</v>
      </c>
      <c r="Q373" s="8" t="s">
        <v>98</v>
      </c>
      <c r="R373" s="8" t="s">
        <v>98</v>
      </c>
      <c r="S373" s="7" t="s">
        <v>97</v>
      </c>
    </row>
    <row r="374" spans="1:19" ht="15.75" x14ac:dyDescent="0.25">
      <c r="A374" s="6">
        <f>Questionnaire!A374</f>
        <v>372</v>
      </c>
      <c r="B374" s="8" t="s">
        <v>98</v>
      </c>
      <c r="C374" s="7" t="s">
        <v>97</v>
      </c>
      <c r="D374" s="7" t="s">
        <v>97</v>
      </c>
      <c r="E374" s="8" t="s">
        <v>98</v>
      </c>
      <c r="F374" s="8" t="s">
        <v>98</v>
      </c>
      <c r="G374" s="8" t="s">
        <v>98</v>
      </c>
      <c r="H374" s="7" t="s">
        <v>97</v>
      </c>
      <c r="I374" s="8" t="s">
        <v>98</v>
      </c>
      <c r="J374" s="7" t="s">
        <v>97</v>
      </c>
      <c r="K374" s="8" t="s">
        <v>98</v>
      </c>
      <c r="L374" s="8" t="s">
        <v>98</v>
      </c>
      <c r="M374" s="8" t="s">
        <v>98</v>
      </c>
      <c r="N374" s="8" t="s">
        <v>98</v>
      </c>
      <c r="O374" s="8" t="s">
        <v>98</v>
      </c>
      <c r="P374" s="8" t="s">
        <v>98</v>
      </c>
      <c r="Q374" s="8" t="s">
        <v>98</v>
      </c>
      <c r="R374" s="8" t="s">
        <v>98</v>
      </c>
      <c r="S374" s="8" t="s">
        <v>98</v>
      </c>
    </row>
    <row r="375" spans="1:19" ht="15.75" x14ac:dyDescent="0.25">
      <c r="A375" s="6">
        <f>Questionnaire!A375</f>
        <v>373</v>
      </c>
      <c r="B375" s="8" t="s">
        <v>98</v>
      </c>
      <c r="C375" s="7" t="s">
        <v>97</v>
      </c>
      <c r="D375" s="7" t="s">
        <v>97</v>
      </c>
      <c r="E375" s="8" t="s">
        <v>98</v>
      </c>
      <c r="F375" s="8" t="s">
        <v>98</v>
      </c>
      <c r="G375" s="8" t="s">
        <v>98</v>
      </c>
      <c r="H375" s="8" t="s">
        <v>98</v>
      </c>
      <c r="I375" s="7" t="s">
        <v>97</v>
      </c>
      <c r="J375" s="8" t="s">
        <v>98</v>
      </c>
      <c r="K375" s="8" t="s">
        <v>98</v>
      </c>
      <c r="L375" s="7" t="s">
        <v>97</v>
      </c>
      <c r="M375" s="8" t="s">
        <v>98</v>
      </c>
      <c r="N375" s="7" t="s">
        <v>97</v>
      </c>
      <c r="O375" s="8" t="s">
        <v>98</v>
      </c>
      <c r="P375" s="8" t="s">
        <v>98</v>
      </c>
      <c r="Q375" s="8" t="s">
        <v>98</v>
      </c>
      <c r="R375" s="8" t="s">
        <v>98</v>
      </c>
      <c r="S375" s="8" t="s">
        <v>98</v>
      </c>
    </row>
    <row r="376" spans="1:19" ht="15.75" x14ac:dyDescent="0.25">
      <c r="A376" s="6">
        <f>Questionnaire!A376</f>
        <v>374</v>
      </c>
      <c r="B376" s="8" t="s">
        <v>98</v>
      </c>
      <c r="C376" s="7" t="s">
        <v>97</v>
      </c>
      <c r="D376" s="8" t="s">
        <v>98</v>
      </c>
      <c r="E376" s="8" t="s">
        <v>98</v>
      </c>
      <c r="F376" s="8" t="s">
        <v>98</v>
      </c>
      <c r="G376" s="8" t="s">
        <v>98</v>
      </c>
      <c r="H376" s="7" t="s">
        <v>97</v>
      </c>
      <c r="I376" s="8" t="s">
        <v>98</v>
      </c>
      <c r="J376" s="7" t="s">
        <v>97</v>
      </c>
      <c r="K376" s="8" t="s">
        <v>98</v>
      </c>
      <c r="L376" s="7" t="s">
        <v>97</v>
      </c>
      <c r="M376" s="8" t="s">
        <v>98</v>
      </c>
      <c r="N376" s="8" t="s">
        <v>98</v>
      </c>
      <c r="O376" s="8" t="s">
        <v>98</v>
      </c>
      <c r="P376" s="8" t="s">
        <v>98</v>
      </c>
      <c r="Q376" s="8" t="s">
        <v>98</v>
      </c>
      <c r="R376" s="8" t="s">
        <v>98</v>
      </c>
      <c r="S376" s="8" t="s">
        <v>98</v>
      </c>
    </row>
    <row r="377" spans="1:19" ht="15.75" x14ac:dyDescent="0.25">
      <c r="A377" s="6">
        <f>Questionnaire!A377</f>
        <v>375</v>
      </c>
      <c r="B377" s="8" t="s">
        <v>98</v>
      </c>
      <c r="C377" s="7" t="s">
        <v>97</v>
      </c>
      <c r="D377" s="8" t="s">
        <v>98</v>
      </c>
      <c r="E377" s="8" t="s">
        <v>98</v>
      </c>
      <c r="F377" s="8" t="s">
        <v>98</v>
      </c>
      <c r="G377" s="8" t="s">
        <v>98</v>
      </c>
      <c r="H377" s="7" t="s">
        <v>97</v>
      </c>
      <c r="I377" s="8" t="s">
        <v>98</v>
      </c>
      <c r="J377" s="8" t="s">
        <v>98</v>
      </c>
      <c r="K377" s="8" t="s">
        <v>98</v>
      </c>
      <c r="L377" s="8" t="s">
        <v>98</v>
      </c>
      <c r="M377" s="8" t="s">
        <v>98</v>
      </c>
      <c r="N377" s="8" t="s">
        <v>98</v>
      </c>
      <c r="O377" s="8" t="s">
        <v>98</v>
      </c>
      <c r="P377" s="8" t="s">
        <v>98</v>
      </c>
      <c r="Q377" s="8" t="s">
        <v>98</v>
      </c>
      <c r="R377" s="7" t="s">
        <v>97</v>
      </c>
      <c r="S377" s="8" t="s">
        <v>98</v>
      </c>
    </row>
    <row r="378" spans="1:19" ht="15.75" x14ac:dyDescent="0.25">
      <c r="A378" s="6">
        <f>Questionnaire!A378</f>
        <v>376</v>
      </c>
      <c r="B378" s="8" t="s">
        <v>98</v>
      </c>
      <c r="C378" s="8" t="s">
        <v>98</v>
      </c>
      <c r="D378" s="8" t="s">
        <v>98</v>
      </c>
      <c r="E378" s="8" t="s">
        <v>98</v>
      </c>
      <c r="F378" s="8" t="s">
        <v>98</v>
      </c>
      <c r="G378" s="7" t="s">
        <v>97</v>
      </c>
      <c r="H378" s="7" t="s">
        <v>97</v>
      </c>
      <c r="I378" s="8" t="s">
        <v>98</v>
      </c>
      <c r="J378" s="8" t="s">
        <v>98</v>
      </c>
      <c r="K378" s="8" t="s">
        <v>98</v>
      </c>
      <c r="L378" s="7" t="s">
        <v>97</v>
      </c>
      <c r="M378" s="8" t="s">
        <v>98</v>
      </c>
      <c r="N378" s="8" t="s">
        <v>98</v>
      </c>
      <c r="O378" s="8" t="s">
        <v>98</v>
      </c>
      <c r="P378" s="8" t="s">
        <v>98</v>
      </c>
      <c r="Q378" s="8" t="s">
        <v>98</v>
      </c>
      <c r="R378" s="8" t="s">
        <v>98</v>
      </c>
      <c r="S378" s="8" t="s">
        <v>98</v>
      </c>
    </row>
    <row r="379" spans="1:19" ht="15.75" x14ac:dyDescent="0.25">
      <c r="A379" s="6">
        <f>Questionnaire!A379</f>
        <v>377</v>
      </c>
      <c r="B379" s="8" t="s">
        <v>98</v>
      </c>
      <c r="C379" s="8" t="s">
        <v>98</v>
      </c>
      <c r="D379" s="8" t="s">
        <v>98</v>
      </c>
      <c r="E379" s="8" t="s">
        <v>98</v>
      </c>
      <c r="F379" s="8" t="s">
        <v>98</v>
      </c>
      <c r="G379" s="7" t="s">
        <v>97</v>
      </c>
      <c r="H379" s="8" t="s">
        <v>98</v>
      </c>
      <c r="I379" s="8" t="s">
        <v>98</v>
      </c>
      <c r="J379" s="8" t="s">
        <v>98</v>
      </c>
      <c r="K379" s="8" t="s">
        <v>98</v>
      </c>
      <c r="L379" s="8" t="s">
        <v>98</v>
      </c>
      <c r="M379" s="8" t="s">
        <v>98</v>
      </c>
      <c r="N379" s="8" t="s">
        <v>98</v>
      </c>
      <c r="O379" s="8" t="s">
        <v>98</v>
      </c>
      <c r="P379" s="8" t="s">
        <v>98</v>
      </c>
      <c r="Q379" s="8" t="s">
        <v>98</v>
      </c>
      <c r="R379" s="8" t="s">
        <v>98</v>
      </c>
      <c r="S379" s="8" t="s">
        <v>98</v>
      </c>
    </row>
    <row r="380" spans="1:19" ht="15.75" x14ac:dyDescent="0.25">
      <c r="A380" s="6">
        <f>Questionnaire!A380</f>
        <v>378</v>
      </c>
      <c r="B380" s="8" t="s">
        <v>98</v>
      </c>
      <c r="C380" s="8" t="s">
        <v>98</v>
      </c>
      <c r="D380" s="8" t="s">
        <v>98</v>
      </c>
      <c r="E380" s="8" t="s">
        <v>98</v>
      </c>
      <c r="F380" s="8" t="s">
        <v>98</v>
      </c>
      <c r="G380" s="7" t="s">
        <v>97</v>
      </c>
      <c r="H380" s="8" t="s">
        <v>98</v>
      </c>
      <c r="I380" s="8" t="s">
        <v>98</v>
      </c>
      <c r="J380" s="8" t="s">
        <v>98</v>
      </c>
      <c r="K380" s="8" t="s">
        <v>98</v>
      </c>
      <c r="L380" s="8" t="s">
        <v>98</v>
      </c>
      <c r="M380" s="8" t="s">
        <v>98</v>
      </c>
      <c r="N380" s="8" t="s">
        <v>98</v>
      </c>
      <c r="O380" s="8" t="s">
        <v>98</v>
      </c>
      <c r="P380" s="8" t="s">
        <v>98</v>
      </c>
      <c r="Q380" s="8" t="s">
        <v>98</v>
      </c>
      <c r="R380" s="8" t="s">
        <v>98</v>
      </c>
      <c r="S380" s="8" t="s">
        <v>98</v>
      </c>
    </row>
    <row r="381" spans="1:19" ht="15.75" x14ac:dyDescent="0.25">
      <c r="A381" s="6">
        <f>Questionnaire!A381</f>
        <v>379</v>
      </c>
      <c r="B381" s="8" t="s">
        <v>98</v>
      </c>
      <c r="C381" s="7" t="s">
        <v>97</v>
      </c>
      <c r="D381" s="8" t="s">
        <v>98</v>
      </c>
      <c r="E381" s="8" t="s">
        <v>98</v>
      </c>
      <c r="F381" s="8" t="s">
        <v>98</v>
      </c>
      <c r="G381" s="8" t="s">
        <v>98</v>
      </c>
      <c r="H381" s="8" t="s">
        <v>98</v>
      </c>
      <c r="I381" s="8" t="s">
        <v>98</v>
      </c>
      <c r="J381" s="8" t="s">
        <v>98</v>
      </c>
      <c r="K381" s="7" t="s">
        <v>97</v>
      </c>
      <c r="L381" s="7" t="s">
        <v>97</v>
      </c>
      <c r="M381" s="8" t="s">
        <v>98</v>
      </c>
      <c r="N381" s="8" t="s">
        <v>98</v>
      </c>
      <c r="O381" s="8" t="s">
        <v>98</v>
      </c>
      <c r="P381" s="8" t="s">
        <v>98</v>
      </c>
      <c r="Q381" s="8" t="s">
        <v>98</v>
      </c>
      <c r="R381" s="8" t="s">
        <v>98</v>
      </c>
      <c r="S381" s="7" t="s">
        <v>97</v>
      </c>
    </row>
    <row r="382" spans="1:19" ht="15.75" x14ac:dyDescent="0.25">
      <c r="A382" s="6">
        <f>Questionnaire!A382</f>
        <v>380</v>
      </c>
      <c r="B382" s="8" t="s">
        <v>98</v>
      </c>
      <c r="C382" s="7" t="s">
        <v>97</v>
      </c>
      <c r="D382" s="7" t="s">
        <v>97</v>
      </c>
      <c r="E382" s="7" t="s">
        <v>97</v>
      </c>
      <c r="F382" s="8" t="s">
        <v>98</v>
      </c>
      <c r="G382" s="8" t="s">
        <v>98</v>
      </c>
      <c r="H382" s="7" t="s">
        <v>97</v>
      </c>
      <c r="I382" s="8" t="s">
        <v>98</v>
      </c>
      <c r="J382" s="8" t="s">
        <v>98</v>
      </c>
      <c r="K382" s="7" t="s">
        <v>97</v>
      </c>
      <c r="L382" s="8" t="s">
        <v>98</v>
      </c>
      <c r="M382" s="8" t="s">
        <v>98</v>
      </c>
      <c r="N382" s="8" t="s">
        <v>98</v>
      </c>
      <c r="O382" s="8" t="s">
        <v>98</v>
      </c>
      <c r="P382" s="8" t="s">
        <v>98</v>
      </c>
      <c r="Q382" s="8" t="s">
        <v>98</v>
      </c>
      <c r="R382" s="8" t="s">
        <v>98</v>
      </c>
      <c r="S382" s="8" t="s">
        <v>98</v>
      </c>
    </row>
    <row r="383" spans="1:19" ht="15.75" x14ac:dyDescent="0.25">
      <c r="A383" s="6">
        <f>Questionnaire!A383</f>
        <v>381</v>
      </c>
      <c r="B383" s="8" t="s">
        <v>98</v>
      </c>
      <c r="C383" s="7" t="s">
        <v>97</v>
      </c>
      <c r="D383" s="8" t="s">
        <v>98</v>
      </c>
      <c r="E383" s="8" t="s">
        <v>98</v>
      </c>
      <c r="F383" s="8" t="s">
        <v>98</v>
      </c>
      <c r="G383" s="8" t="s">
        <v>98</v>
      </c>
      <c r="H383" s="8" t="s">
        <v>98</v>
      </c>
      <c r="I383" s="7" t="s">
        <v>97</v>
      </c>
      <c r="J383" s="7" t="s">
        <v>97</v>
      </c>
      <c r="K383" s="8" t="s">
        <v>98</v>
      </c>
      <c r="L383" s="7" t="s">
        <v>97</v>
      </c>
      <c r="M383" s="8" t="s">
        <v>98</v>
      </c>
      <c r="N383" s="8" t="s">
        <v>98</v>
      </c>
      <c r="O383" s="8" t="s">
        <v>98</v>
      </c>
      <c r="P383" s="8" t="s">
        <v>98</v>
      </c>
      <c r="Q383" s="8" t="s">
        <v>98</v>
      </c>
      <c r="R383" s="8" t="s">
        <v>98</v>
      </c>
      <c r="S383" s="8" t="s">
        <v>98</v>
      </c>
    </row>
    <row r="384" spans="1:19" ht="15.75" x14ac:dyDescent="0.25">
      <c r="A384" s="6">
        <f>Questionnaire!A384</f>
        <v>382</v>
      </c>
      <c r="B384" s="8" t="s">
        <v>98</v>
      </c>
      <c r="C384" s="7" t="s">
        <v>97</v>
      </c>
      <c r="D384" s="8" t="s">
        <v>98</v>
      </c>
      <c r="E384" s="8" t="s">
        <v>98</v>
      </c>
      <c r="F384" s="8" t="s">
        <v>98</v>
      </c>
      <c r="G384" s="7" t="s">
        <v>97</v>
      </c>
      <c r="H384" s="8" t="s">
        <v>98</v>
      </c>
      <c r="I384" s="7" t="s">
        <v>97</v>
      </c>
      <c r="J384" s="7" t="s">
        <v>97</v>
      </c>
      <c r="K384" s="8" t="s">
        <v>98</v>
      </c>
      <c r="L384" s="8" t="s">
        <v>98</v>
      </c>
      <c r="M384" s="8" t="s">
        <v>98</v>
      </c>
      <c r="N384" s="8" t="s">
        <v>98</v>
      </c>
      <c r="O384" s="8" t="s">
        <v>98</v>
      </c>
      <c r="P384" s="8" t="s">
        <v>98</v>
      </c>
      <c r="Q384" s="8" t="s">
        <v>98</v>
      </c>
      <c r="R384" s="8" t="s">
        <v>98</v>
      </c>
      <c r="S384" s="8" t="s">
        <v>98</v>
      </c>
    </row>
    <row r="385" spans="1:19" ht="15.75" x14ac:dyDescent="0.25">
      <c r="A385" s="6">
        <f>Questionnaire!A385</f>
        <v>383</v>
      </c>
      <c r="B385" s="8" t="s">
        <v>98</v>
      </c>
      <c r="C385" s="7" t="s">
        <v>97</v>
      </c>
      <c r="D385" s="7" t="s">
        <v>97</v>
      </c>
      <c r="E385" s="8" t="s">
        <v>98</v>
      </c>
      <c r="F385" s="8" t="s">
        <v>98</v>
      </c>
      <c r="G385" s="8" t="s">
        <v>98</v>
      </c>
      <c r="H385" s="7" t="s">
        <v>97</v>
      </c>
      <c r="I385" s="8" t="s">
        <v>98</v>
      </c>
      <c r="J385" s="8" t="s">
        <v>98</v>
      </c>
      <c r="K385" s="7" t="s">
        <v>97</v>
      </c>
      <c r="L385" s="7" t="s">
        <v>97</v>
      </c>
      <c r="M385" s="8" t="s">
        <v>98</v>
      </c>
      <c r="N385" s="8" t="s">
        <v>98</v>
      </c>
      <c r="O385" s="8" t="s">
        <v>98</v>
      </c>
      <c r="P385" s="8" t="s">
        <v>98</v>
      </c>
      <c r="Q385" s="8" t="s">
        <v>98</v>
      </c>
      <c r="R385" s="8" t="s">
        <v>98</v>
      </c>
      <c r="S385" s="7" t="s">
        <v>97</v>
      </c>
    </row>
    <row r="386" spans="1:19" ht="15.75" x14ac:dyDescent="0.25">
      <c r="A386" s="6">
        <f>Questionnaire!A386</f>
        <v>384</v>
      </c>
      <c r="B386" s="8" t="s">
        <v>98</v>
      </c>
      <c r="C386" s="8" t="s">
        <v>98</v>
      </c>
      <c r="D386" s="8" t="s">
        <v>98</v>
      </c>
      <c r="E386" s="8" t="s">
        <v>98</v>
      </c>
      <c r="F386" s="8" t="s">
        <v>98</v>
      </c>
      <c r="G386" s="7" t="s">
        <v>97</v>
      </c>
      <c r="H386" s="8" t="s">
        <v>98</v>
      </c>
      <c r="I386" s="7" t="s">
        <v>97</v>
      </c>
      <c r="J386" s="7" t="s">
        <v>97</v>
      </c>
      <c r="K386" s="7" t="s">
        <v>97</v>
      </c>
      <c r="L386" s="8" t="s">
        <v>98</v>
      </c>
      <c r="M386" s="8" t="s">
        <v>98</v>
      </c>
      <c r="N386" s="8" t="s">
        <v>98</v>
      </c>
      <c r="O386" s="8" t="s">
        <v>98</v>
      </c>
      <c r="P386" s="8" t="s">
        <v>98</v>
      </c>
      <c r="Q386" s="8" t="s">
        <v>98</v>
      </c>
      <c r="R386" s="8" t="s">
        <v>98</v>
      </c>
      <c r="S386" s="8" t="s">
        <v>98</v>
      </c>
    </row>
    <row r="387" spans="1:19" ht="15.75" x14ac:dyDescent="0.25">
      <c r="A387" s="6">
        <f>Questionnaire!A387</f>
        <v>385</v>
      </c>
      <c r="B387" s="8" t="s">
        <v>98</v>
      </c>
      <c r="C387" s="7" t="s">
        <v>97</v>
      </c>
      <c r="D387" s="7" t="s">
        <v>97</v>
      </c>
      <c r="E387" s="8" t="s">
        <v>98</v>
      </c>
      <c r="F387" s="8" t="s">
        <v>98</v>
      </c>
      <c r="G387" s="8" t="s">
        <v>98</v>
      </c>
      <c r="H387" s="7" t="s">
        <v>97</v>
      </c>
      <c r="I387" s="8" t="s">
        <v>98</v>
      </c>
      <c r="J387" s="8" t="s">
        <v>98</v>
      </c>
      <c r="K387" s="8" t="s">
        <v>98</v>
      </c>
      <c r="L387" s="7" t="s">
        <v>97</v>
      </c>
      <c r="M387" s="8" t="s">
        <v>98</v>
      </c>
      <c r="N387" s="8" t="s">
        <v>98</v>
      </c>
      <c r="O387" s="8" t="s">
        <v>98</v>
      </c>
      <c r="P387" s="8" t="s">
        <v>98</v>
      </c>
      <c r="Q387" s="8" t="s">
        <v>98</v>
      </c>
      <c r="R387" s="8" t="s">
        <v>98</v>
      </c>
      <c r="S387" s="8" t="s">
        <v>98</v>
      </c>
    </row>
    <row r="388" spans="1:19" ht="15.75" x14ac:dyDescent="0.25">
      <c r="A388" s="6">
        <f>Questionnaire!A388</f>
        <v>386</v>
      </c>
      <c r="B388" s="8" t="s">
        <v>98</v>
      </c>
      <c r="C388" s="8" t="s">
        <v>98</v>
      </c>
      <c r="D388" s="8" t="s">
        <v>98</v>
      </c>
      <c r="E388" s="8" t="s">
        <v>98</v>
      </c>
      <c r="F388" s="8" t="s">
        <v>98</v>
      </c>
      <c r="G388" s="7" t="s">
        <v>97</v>
      </c>
      <c r="H388" s="7" t="s">
        <v>97</v>
      </c>
      <c r="I388" s="8" t="s">
        <v>98</v>
      </c>
      <c r="J388" s="8" t="s">
        <v>98</v>
      </c>
      <c r="K388" s="8" t="s">
        <v>98</v>
      </c>
      <c r="L388" s="7" t="s">
        <v>97</v>
      </c>
      <c r="M388" s="8" t="s">
        <v>98</v>
      </c>
      <c r="N388" s="8" t="s">
        <v>98</v>
      </c>
      <c r="O388" s="8" t="s">
        <v>98</v>
      </c>
      <c r="P388" s="8" t="s">
        <v>98</v>
      </c>
      <c r="Q388" s="8" t="s">
        <v>98</v>
      </c>
      <c r="R388" s="8" t="s">
        <v>98</v>
      </c>
      <c r="S388" s="8" t="s">
        <v>98</v>
      </c>
    </row>
    <row r="389" spans="1:19" ht="15.75" x14ac:dyDescent="0.25">
      <c r="A389" s="6">
        <f>Questionnaire!A389</f>
        <v>387</v>
      </c>
      <c r="B389" s="8" t="s">
        <v>98</v>
      </c>
      <c r="C389" s="7" t="s">
        <v>97</v>
      </c>
      <c r="D389" s="8" t="s">
        <v>98</v>
      </c>
      <c r="E389" s="8" t="s">
        <v>98</v>
      </c>
      <c r="F389" s="8" t="s">
        <v>98</v>
      </c>
      <c r="G389" s="8" t="s">
        <v>98</v>
      </c>
      <c r="H389" s="7" t="s">
        <v>97</v>
      </c>
      <c r="I389" s="8" t="s">
        <v>98</v>
      </c>
      <c r="J389" s="7" t="s">
        <v>97</v>
      </c>
      <c r="K389" s="7" t="s">
        <v>97</v>
      </c>
      <c r="L389" s="8" t="s">
        <v>98</v>
      </c>
      <c r="M389" s="8" t="s">
        <v>98</v>
      </c>
      <c r="N389" s="8" t="s">
        <v>98</v>
      </c>
      <c r="O389" s="8" t="s">
        <v>98</v>
      </c>
      <c r="P389" s="8" t="s">
        <v>98</v>
      </c>
      <c r="Q389" s="8" t="s">
        <v>98</v>
      </c>
      <c r="R389" s="8" t="s">
        <v>98</v>
      </c>
      <c r="S389" s="8" t="s">
        <v>98</v>
      </c>
    </row>
    <row r="390" spans="1:19" ht="15.75" x14ac:dyDescent="0.25">
      <c r="A390" s="6">
        <f>Questionnaire!A390</f>
        <v>388</v>
      </c>
      <c r="B390" s="8" t="s">
        <v>98</v>
      </c>
      <c r="C390" s="7" t="s">
        <v>97</v>
      </c>
      <c r="D390" s="8" t="s">
        <v>98</v>
      </c>
      <c r="E390" s="8" t="s">
        <v>98</v>
      </c>
      <c r="F390" s="8" t="s">
        <v>98</v>
      </c>
      <c r="G390" s="8" t="s">
        <v>98</v>
      </c>
      <c r="H390" s="8" t="s">
        <v>98</v>
      </c>
      <c r="I390" s="7" t="s">
        <v>97</v>
      </c>
      <c r="J390" s="8" t="s">
        <v>98</v>
      </c>
      <c r="K390" s="7" t="s">
        <v>97</v>
      </c>
      <c r="L390" s="7" t="s">
        <v>97</v>
      </c>
      <c r="M390" s="8" t="s">
        <v>98</v>
      </c>
      <c r="N390" s="8" t="s">
        <v>98</v>
      </c>
      <c r="O390" s="8" t="s">
        <v>98</v>
      </c>
      <c r="P390" s="8" t="s">
        <v>98</v>
      </c>
      <c r="Q390" s="8" t="s">
        <v>98</v>
      </c>
      <c r="R390" s="8" t="s">
        <v>98</v>
      </c>
      <c r="S390" s="7" t="s">
        <v>97</v>
      </c>
    </row>
    <row r="391" spans="1:19" ht="15.75" x14ac:dyDescent="0.25">
      <c r="A391" s="6">
        <f>Questionnaire!A391</f>
        <v>389</v>
      </c>
      <c r="B391" s="8" t="s">
        <v>98</v>
      </c>
      <c r="C391" s="7" t="s">
        <v>97</v>
      </c>
      <c r="D391" s="7" t="s">
        <v>97</v>
      </c>
      <c r="E391" s="8" t="s">
        <v>98</v>
      </c>
      <c r="F391" s="8" t="s">
        <v>98</v>
      </c>
      <c r="G391" s="8" t="s">
        <v>98</v>
      </c>
      <c r="H391" s="7" t="s">
        <v>97</v>
      </c>
      <c r="I391" s="8" t="s">
        <v>98</v>
      </c>
      <c r="J391" s="8" t="s">
        <v>98</v>
      </c>
      <c r="K391" s="8" t="s">
        <v>98</v>
      </c>
      <c r="L391" s="8" t="s">
        <v>98</v>
      </c>
      <c r="M391" s="8" t="s">
        <v>98</v>
      </c>
      <c r="N391" s="8" t="s">
        <v>98</v>
      </c>
      <c r="O391" s="8" t="s">
        <v>98</v>
      </c>
      <c r="P391" s="8" t="s">
        <v>98</v>
      </c>
      <c r="Q391" s="8" t="s">
        <v>98</v>
      </c>
      <c r="R391" s="8" t="s">
        <v>98</v>
      </c>
      <c r="S391" s="8" t="s">
        <v>98</v>
      </c>
    </row>
    <row r="392" spans="1:19" ht="15.75" x14ac:dyDescent="0.25">
      <c r="A392" s="6">
        <f>Questionnaire!A392</f>
        <v>390</v>
      </c>
      <c r="B392" s="8" t="s">
        <v>98</v>
      </c>
      <c r="C392" s="7" t="s">
        <v>97</v>
      </c>
      <c r="D392" s="8" t="s">
        <v>98</v>
      </c>
      <c r="E392" s="8" t="s">
        <v>98</v>
      </c>
      <c r="F392" s="8" t="s">
        <v>98</v>
      </c>
      <c r="G392" s="8" t="s">
        <v>98</v>
      </c>
      <c r="H392" s="7" t="s">
        <v>97</v>
      </c>
      <c r="I392" s="8" t="s">
        <v>98</v>
      </c>
      <c r="J392" s="7" t="s">
        <v>97</v>
      </c>
      <c r="K392" s="8" t="s">
        <v>98</v>
      </c>
      <c r="L392" s="8" t="s">
        <v>98</v>
      </c>
      <c r="M392" s="8" t="s">
        <v>98</v>
      </c>
      <c r="N392" s="8" t="s">
        <v>98</v>
      </c>
      <c r="O392" s="8" t="s">
        <v>98</v>
      </c>
      <c r="P392" s="8" t="s">
        <v>98</v>
      </c>
      <c r="Q392" s="8" t="s">
        <v>98</v>
      </c>
      <c r="R392" s="8" t="s">
        <v>98</v>
      </c>
      <c r="S392" s="8" t="s">
        <v>98</v>
      </c>
    </row>
    <row r="393" spans="1:19" ht="15.75" x14ac:dyDescent="0.25">
      <c r="A393" s="6">
        <f>Questionnaire!A393</f>
        <v>391</v>
      </c>
      <c r="B393" s="8" t="s">
        <v>98</v>
      </c>
      <c r="C393" s="7" t="s">
        <v>97</v>
      </c>
      <c r="D393" s="7" t="s">
        <v>97</v>
      </c>
      <c r="E393" s="8" t="s">
        <v>98</v>
      </c>
      <c r="F393" s="8" t="s">
        <v>98</v>
      </c>
      <c r="G393" s="8" t="s">
        <v>98</v>
      </c>
      <c r="H393" s="7" t="s">
        <v>97</v>
      </c>
      <c r="I393" s="8" t="s">
        <v>98</v>
      </c>
      <c r="J393" s="7" t="s">
        <v>97</v>
      </c>
      <c r="K393" s="8" t="s">
        <v>98</v>
      </c>
      <c r="L393" s="7" t="s">
        <v>97</v>
      </c>
      <c r="M393" s="8" t="s">
        <v>98</v>
      </c>
      <c r="N393" s="8" t="s">
        <v>98</v>
      </c>
      <c r="O393" s="8" t="s">
        <v>98</v>
      </c>
      <c r="P393" s="8" t="s">
        <v>98</v>
      </c>
      <c r="Q393" s="8" t="s">
        <v>98</v>
      </c>
      <c r="R393" s="8" t="s">
        <v>98</v>
      </c>
      <c r="S393" s="8" t="s">
        <v>98</v>
      </c>
    </row>
    <row r="394" spans="1:19" ht="15.75" x14ac:dyDescent="0.25">
      <c r="A394" s="6">
        <f>Questionnaire!A394</f>
        <v>392</v>
      </c>
      <c r="B394" s="8" t="s">
        <v>98</v>
      </c>
      <c r="C394" s="7" t="s">
        <v>97</v>
      </c>
      <c r="D394" s="7" t="s">
        <v>97</v>
      </c>
      <c r="E394" s="8" t="s">
        <v>98</v>
      </c>
      <c r="F394" s="8" t="s">
        <v>98</v>
      </c>
      <c r="G394" s="8" t="s">
        <v>98</v>
      </c>
      <c r="H394" s="7" t="s">
        <v>97</v>
      </c>
      <c r="I394" s="8" t="s">
        <v>98</v>
      </c>
      <c r="J394" s="8" t="s">
        <v>98</v>
      </c>
      <c r="K394" s="8" t="s">
        <v>98</v>
      </c>
      <c r="L394" s="7" t="s">
        <v>97</v>
      </c>
      <c r="M394" s="8" t="s">
        <v>98</v>
      </c>
      <c r="N394" s="8" t="s">
        <v>98</v>
      </c>
      <c r="O394" s="8" t="s">
        <v>98</v>
      </c>
      <c r="P394" s="8" t="s">
        <v>98</v>
      </c>
      <c r="Q394" s="8" t="s">
        <v>98</v>
      </c>
      <c r="R394" s="8" t="s">
        <v>98</v>
      </c>
      <c r="S394" s="8" t="s">
        <v>98</v>
      </c>
    </row>
    <row r="395" spans="1:19" ht="15.75" x14ac:dyDescent="0.25">
      <c r="A395" s="6">
        <f>Questionnaire!A395</f>
        <v>393</v>
      </c>
      <c r="B395" s="8" t="s">
        <v>98</v>
      </c>
      <c r="C395" s="8" t="s">
        <v>98</v>
      </c>
      <c r="D395" s="7" t="s">
        <v>97</v>
      </c>
      <c r="E395" s="8" t="s">
        <v>98</v>
      </c>
      <c r="F395" s="8" t="s">
        <v>98</v>
      </c>
      <c r="G395" s="7" t="s">
        <v>97</v>
      </c>
      <c r="H395" s="8" t="s">
        <v>98</v>
      </c>
      <c r="I395" s="8" t="s">
        <v>98</v>
      </c>
      <c r="J395" s="8" t="s">
        <v>98</v>
      </c>
      <c r="K395" s="7" t="s">
        <v>97</v>
      </c>
      <c r="L395" s="7" t="s">
        <v>97</v>
      </c>
      <c r="M395" s="8" t="s">
        <v>98</v>
      </c>
      <c r="N395" s="8" t="s">
        <v>98</v>
      </c>
      <c r="O395" s="8" t="s">
        <v>98</v>
      </c>
      <c r="P395" s="8" t="s">
        <v>98</v>
      </c>
      <c r="Q395" s="8" t="s">
        <v>98</v>
      </c>
      <c r="R395" s="7" t="s">
        <v>97</v>
      </c>
      <c r="S395" s="7" t="s">
        <v>97</v>
      </c>
    </row>
    <row r="396" spans="1:19" ht="15.75" x14ac:dyDescent="0.25">
      <c r="A396" s="6">
        <f>Questionnaire!A396</f>
        <v>394</v>
      </c>
      <c r="B396" s="8" t="s">
        <v>98</v>
      </c>
      <c r="C396" s="7" t="s">
        <v>97</v>
      </c>
      <c r="D396" s="7" t="s">
        <v>97</v>
      </c>
      <c r="E396" s="8" t="s">
        <v>98</v>
      </c>
      <c r="F396" s="8" t="s">
        <v>98</v>
      </c>
      <c r="G396" s="8" t="s">
        <v>98</v>
      </c>
      <c r="H396" s="8" t="s">
        <v>98</v>
      </c>
      <c r="I396" s="7" t="s">
        <v>97</v>
      </c>
      <c r="J396" s="7" t="s">
        <v>97</v>
      </c>
      <c r="K396" s="7" t="s">
        <v>97</v>
      </c>
      <c r="L396" s="8" t="s">
        <v>98</v>
      </c>
      <c r="M396" s="8" t="s">
        <v>98</v>
      </c>
      <c r="N396" s="7" t="s">
        <v>97</v>
      </c>
      <c r="O396" s="8" t="s">
        <v>98</v>
      </c>
      <c r="P396" s="8" t="s">
        <v>98</v>
      </c>
      <c r="Q396" s="8" t="s">
        <v>98</v>
      </c>
      <c r="R396" s="8" t="s">
        <v>98</v>
      </c>
      <c r="S396" s="8" t="s">
        <v>98</v>
      </c>
    </row>
    <row r="397" spans="1:19" ht="15.75" x14ac:dyDescent="0.25">
      <c r="A397" s="6">
        <f>Questionnaire!A397</f>
        <v>395</v>
      </c>
      <c r="B397" s="8" t="s">
        <v>98</v>
      </c>
      <c r="C397" s="7" t="s">
        <v>97</v>
      </c>
      <c r="D397" s="8" t="s">
        <v>98</v>
      </c>
      <c r="E397" s="8" t="s">
        <v>98</v>
      </c>
      <c r="F397" s="8" t="s">
        <v>98</v>
      </c>
      <c r="G397" s="8" t="s">
        <v>98</v>
      </c>
      <c r="H397" s="7" t="s">
        <v>97</v>
      </c>
      <c r="I397" s="8" t="s">
        <v>98</v>
      </c>
      <c r="J397" s="8" t="s">
        <v>98</v>
      </c>
      <c r="K397" s="8" t="s">
        <v>98</v>
      </c>
      <c r="L397" s="8" t="s">
        <v>98</v>
      </c>
      <c r="M397" s="8" t="s">
        <v>98</v>
      </c>
      <c r="N397" s="8" t="s">
        <v>98</v>
      </c>
      <c r="O397" s="8" t="s">
        <v>98</v>
      </c>
      <c r="P397" s="8" t="s">
        <v>98</v>
      </c>
      <c r="Q397" s="8" t="s">
        <v>98</v>
      </c>
      <c r="R397" s="8" t="s">
        <v>98</v>
      </c>
      <c r="S397" s="8" t="s">
        <v>98</v>
      </c>
    </row>
    <row r="398" spans="1:19" ht="15.75" x14ac:dyDescent="0.25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7"/>
      <c r="N398" s="8"/>
      <c r="O398" s="8"/>
      <c r="P398" s="8"/>
      <c r="Q398" s="8"/>
      <c r="R398" s="8"/>
      <c r="S398" s="8"/>
    </row>
    <row r="399" spans="1:19" ht="15.75" x14ac:dyDescent="0.25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7"/>
      <c r="N399" s="8"/>
      <c r="O399" s="8"/>
      <c r="P399" s="8"/>
      <c r="Q399" s="8"/>
      <c r="R399" s="8"/>
      <c r="S399" s="8"/>
    </row>
    <row r="400" spans="1:19" ht="15.75" x14ac:dyDescent="0.25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7"/>
      <c r="N400" s="8"/>
      <c r="O400" s="8"/>
      <c r="P400" s="8"/>
      <c r="Q400" s="8"/>
      <c r="R400" s="8"/>
      <c r="S400" s="8"/>
    </row>
    <row r="401" spans="2:19" ht="15.75" x14ac:dyDescent="0.25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7"/>
      <c r="N401" s="8"/>
      <c r="O401" s="8"/>
      <c r="P401" s="8"/>
      <c r="Q401" s="8"/>
      <c r="R401" s="8"/>
      <c r="S401" s="8"/>
    </row>
    <row r="402" spans="2:19" ht="15.75" x14ac:dyDescent="0.25"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7"/>
      <c r="N402" s="8"/>
      <c r="O402" s="8"/>
      <c r="P402" s="8"/>
      <c r="Q402" s="8"/>
      <c r="R402" s="8"/>
      <c r="S402" s="8"/>
    </row>
    <row r="403" spans="2:19" ht="15.75" x14ac:dyDescent="0.25"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7"/>
      <c r="N403" s="8"/>
      <c r="O403" s="8"/>
      <c r="P403" s="8"/>
      <c r="Q403" s="8"/>
      <c r="R403" s="8"/>
      <c r="S403" s="8"/>
    </row>
    <row r="404" spans="2:19" ht="15.75" x14ac:dyDescent="0.25"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7"/>
      <c r="N404" s="8"/>
      <c r="O404" s="8"/>
      <c r="P404" s="8"/>
      <c r="Q404" s="8"/>
      <c r="R404" s="8"/>
      <c r="S404" s="8"/>
    </row>
    <row r="405" spans="2:19" ht="15.75" x14ac:dyDescent="0.25"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7"/>
      <c r="N405" s="8"/>
      <c r="O405" s="8"/>
      <c r="P405" s="8"/>
      <c r="Q405" s="8"/>
      <c r="R405" s="8"/>
      <c r="S405" s="8"/>
    </row>
    <row r="406" spans="2:19" ht="15.75" x14ac:dyDescent="0.25"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7"/>
      <c r="N406" s="8"/>
      <c r="O406" s="8"/>
      <c r="P406" s="8"/>
      <c r="Q406" s="8"/>
      <c r="R406" s="8"/>
      <c r="S406" s="8"/>
    </row>
    <row r="407" spans="2:19" ht="15.75" x14ac:dyDescent="0.25"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7"/>
      <c r="N407" s="8"/>
      <c r="O407" s="8"/>
      <c r="P407" s="8"/>
      <c r="Q407" s="8"/>
      <c r="R407" s="8"/>
      <c r="S407" s="8"/>
    </row>
    <row r="408" spans="2:19" ht="15.75" x14ac:dyDescent="0.25"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7"/>
      <c r="N408" s="8"/>
      <c r="O408" s="8"/>
      <c r="P408" s="8"/>
      <c r="Q408" s="8"/>
      <c r="R408" s="8"/>
      <c r="S408" s="8"/>
    </row>
    <row r="409" spans="2:19" ht="15.75" x14ac:dyDescent="0.25"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7"/>
      <c r="N409" s="8"/>
      <c r="O409" s="8"/>
      <c r="P409" s="8"/>
      <c r="Q409" s="8"/>
      <c r="R409" s="8"/>
      <c r="S409" s="8"/>
    </row>
    <row r="410" spans="2:19" ht="15.75" x14ac:dyDescent="0.25"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7"/>
      <c r="N410" s="8"/>
      <c r="O410" s="8"/>
      <c r="P410" s="8"/>
      <c r="Q410" s="8"/>
      <c r="R410" s="8"/>
      <c r="S410" s="8"/>
    </row>
    <row r="411" spans="2:19" ht="15.75" x14ac:dyDescent="0.25"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7"/>
      <c r="N411" s="8"/>
      <c r="O411" s="8"/>
      <c r="P411" s="8"/>
      <c r="Q411" s="8"/>
      <c r="R411" s="8"/>
      <c r="S411" s="8"/>
    </row>
    <row r="412" spans="2:19" ht="15.75" x14ac:dyDescent="0.25"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7"/>
      <c r="N412" s="8"/>
      <c r="O412" s="8"/>
      <c r="P412" s="8"/>
      <c r="Q412" s="8"/>
      <c r="R412" s="8"/>
      <c r="S412" s="8"/>
    </row>
    <row r="413" spans="2:19" ht="15.75" x14ac:dyDescent="0.25"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7"/>
      <c r="N413" s="8"/>
      <c r="O413" s="8"/>
      <c r="P413" s="8"/>
      <c r="Q413" s="8"/>
      <c r="R413" s="8"/>
      <c r="S413" s="8"/>
    </row>
    <row r="414" spans="2:19" ht="15.75" x14ac:dyDescent="0.25"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7"/>
      <c r="N414" s="8"/>
      <c r="O414" s="8"/>
      <c r="P414" s="8"/>
      <c r="Q414" s="8"/>
      <c r="R414" s="8"/>
      <c r="S414" s="8"/>
    </row>
    <row r="415" spans="2:19" ht="15.75" x14ac:dyDescent="0.25"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7"/>
      <c r="N415" s="8"/>
      <c r="O415" s="8"/>
      <c r="P415" s="8"/>
      <c r="Q415" s="8"/>
      <c r="R415" s="8"/>
      <c r="S415" s="8"/>
    </row>
    <row r="416" spans="2:19" ht="15.75" x14ac:dyDescent="0.25"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7"/>
      <c r="N416" s="8"/>
      <c r="O416" s="8"/>
      <c r="P416" s="8"/>
      <c r="Q416" s="8"/>
      <c r="R416" s="8"/>
      <c r="S416" s="8"/>
    </row>
    <row r="417" spans="2:19" ht="15.75" x14ac:dyDescent="0.25"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7"/>
      <c r="N417" s="8"/>
      <c r="O417" s="8"/>
      <c r="P417" s="8"/>
      <c r="Q417" s="8"/>
      <c r="R417" s="8"/>
      <c r="S417" s="8"/>
    </row>
    <row r="418" spans="2:19" ht="15.75" x14ac:dyDescent="0.25"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7"/>
      <c r="N418" s="8"/>
      <c r="O418" s="8"/>
      <c r="P418" s="8"/>
      <c r="Q418" s="8"/>
      <c r="R418" s="8"/>
      <c r="S418" s="8"/>
    </row>
    <row r="419" spans="2:19" ht="15.75" x14ac:dyDescent="0.25"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7"/>
      <c r="N419" s="8"/>
      <c r="O419" s="8"/>
      <c r="P419" s="8"/>
      <c r="Q419" s="8"/>
      <c r="R419" s="8"/>
      <c r="S419" s="8"/>
    </row>
    <row r="420" spans="2:19" ht="15.75" x14ac:dyDescent="0.25"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7"/>
      <c r="N420" s="8"/>
      <c r="O420" s="8"/>
      <c r="P420" s="8"/>
      <c r="Q420" s="8"/>
      <c r="R420" s="8"/>
      <c r="S420" s="8"/>
    </row>
    <row r="421" spans="2:19" ht="15.75" x14ac:dyDescent="0.25"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7"/>
      <c r="N421" s="8"/>
      <c r="O421" s="8"/>
      <c r="P421" s="8"/>
      <c r="Q421" s="8"/>
      <c r="R421" s="8"/>
      <c r="S421" s="8"/>
    </row>
    <row r="422" spans="2:19" ht="15.75" x14ac:dyDescent="0.25"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7"/>
      <c r="N422" s="8"/>
      <c r="O422" s="8"/>
      <c r="P422" s="8"/>
      <c r="Q422" s="8"/>
      <c r="R422" s="8"/>
      <c r="S422" s="8"/>
    </row>
    <row r="423" spans="2:19" ht="15.75" x14ac:dyDescent="0.25"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7"/>
      <c r="N423" s="8"/>
      <c r="O423" s="8"/>
      <c r="P423" s="8"/>
      <c r="Q423" s="8"/>
      <c r="R423" s="8"/>
      <c r="S423" s="8"/>
    </row>
    <row r="424" spans="2:19" ht="15.75" x14ac:dyDescent="0.25"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7"/>
      <c r="N424" s="8"/>
      <c r="O424" s="8"/>
      <c r="P424" s="8"/>
      <c r="Q424" s="8"/>
      <c r="R424" s="8"/>
      <c r="S424" s="8"/>
    </row>
    <row r="425" spans="2:19" ht="15.75" x14ac:dyDescent="0.25"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7"/>
      <c r="N425" s="8"/>
      <c r="O425" s="8"/>
      <c r="P425" s="8"/>
      <c r="Q425" s="8"/>
      <c r="R425" s="8"/>
      <c r="S425" s="8"/>
    </row>
    <row r="426" spans="2:19" ht="15.75" x14ac:dyDescent="0.25"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7"/>
      <c r="N426" s="8"/>
      <c r="O426" s="8"/>
      <c r="P426" s="8"/>
      <c r="Q426" s="8"/>
      <c r="R426" s="8"/>
      <c r="S426" s="8"/>
    </row>
    <row r="427" spans="2:19" ht="15.75" x14ac:dyDescent="0.25">
      <c r="B427" s="8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7"/>
      <c r="N427" s="37"/>
      <c r="O427" s="37"/>
      <c r="P427" s="37"/>
      <c r="Q427" s="37"/>
      <c r="R427" s="37"/>
      <c r="S427" s="37"/>
    </row>
    <row r="428" spans="2:19" ht="15.75" x14ac:dyDescent="0.25">
      <c r="B428" s="8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7"/>
      <c r="N428" s="37"/>
      <c r="O428" s="37"/>
      <c r="P428" s="37"/>
      <c r="Q428" s="37"/>
      <c r="R428" s="37"/>
      <c r="S428" s="37"/>
    </row>
    <row r="429" spans="2:19" ht="15.75" x14ac:dyDescent="0.25">
      <c r="B429" s="8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7"/>
      <c r="N429" s="37"/>
      <c r="O429" s="37"/>
      <c r="P429" s="37"/>
      <c r="Q429" s="37"/>
      <c r="R429" s="37"/>
      <c r="S429" s="37"/>
    </row>
    <row r="430" spans="2:19" ht="15.75" x14ac:dyDescent="0.25">
      <c r="B430" s="8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7"/>
      <c r="N430" s="37"/>
      <c r="O430" s="37"/>
      <c r="P430" s="37"/>
      <c r="Q430" s="37"/>
      <c r="R430" s="37"/>
      <c r="S430" s="37"/>
    </row>
    <row r="431" spans="2:19" ht="15.75" x14ac:dyDescent="0.25">
      <c r="B431" s="8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7"/>
      <c r="N431" s="37"/>
      <c r="O431" s="37"/>
      <c r="P431" s="37"/>
      <c r="Q431" s="37"/>
      <c r="R431" s="37"/>
      <c r="S431" s="37"/>
    </row>
    <row r="432" spans="2:19" ht="15.75" x14ac:dyDescent="0.25">
      <c r="B432" s="8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7"/>
      <c r="N432" s="37"/>
      <c r="O432" s="37"/>
      <c r="P432" s="37"/>
      <c r="Q432" s="37"/>
      <c r="R432" s="37"/>
      <c r="S432" s="37"/>
    </row>
    <row r="433" spans="2:19" ht="15.75" x14ac:dyDescent="0.25">
      <c r="B433" s="8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7"/>
      <c r="N433" s="37"/>
      <c r="O433" s="37"/>
      <c r="P433" s="37"/>
      <c r="Q433" s="37"/>
      <c r="R433" s="37"/>
      <c r="S433" s="37"/>
    </row>
    <row r="434" spans="2:19" ht="15.75" x14ac:dyDescent="0.25">
      <c r="B434" s="8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7"/>
      <c r="N434" s="37"/>
      <c r="O434" s="37"/>
      <c r="P434" s="37"/>
      <c r="Q434" s="37"/>
      <c r="R434" s="37"/>
      <c r="S434" s="37"/>
    </row>
    <row r="435" spans="2:19" ht="15.75" x14ac:dyDescent="0.25">
      <c r="B435" s="8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7"/>
      <c r="N435" s="37"/>
      <c r="O435" s="37"/>
      <c r="P435" s="37"/>
      <c r="Q435" s="37"/>
      <c r="R435" s="37"/>
      <c r="S435" s="37"/>
    </row>
    <row r="436" spans="2:19" ht="15.75" x14ac:dyDescent="0.25">
      <c r="B436" s="8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7"/>
      <c r="N436" s="37"/>
      <c r="O436" s="37"/>
      <c r="P436" s="37"/>
      <c r="Q436" s="37"/>
      <c r="R436" s="37"/>
      <c r="S436" s="37"/>
    </row>
    <row r="437" spans="2:19" ht="15.75" x14ac:dyDescent="0.25">
      <c r="B437" s="8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7"/>
      <c r="N437" s="37"/>
      <c r="O437" s="37"/>
      <c r="P437" s="37"/>
      <c r="Q437" s="37"/>
      <c r="R437" s="37"/>
      <c r="S437" s="37"/>
    </row>
    <row r="438" spans="2:19" ht="15.75" x14ac:dyDescent="0.25">
      <c r="B438" s="8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7"/>
      <c r="N438" s="37"/>
      <c r="O438" s="37"/>
      <c r="P438" s="37"/>
      <c r="Q438" s="37"/>
      <c r="R438" s="37"/>
      <c r="S438" s="37"/>
    </row>
    <row r="439" spans="2:19" ht="15.75" x14ac:dyDescent="0.25">
      <c r="B439" s="38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7"/>
      <c r="N439" s="39"/>
      <c r="O439" s="39"/>
      <c r="P439" s="39"/>
      <c r="Q439" s="39"/>
      <c r="R439" s="39"/>
      <c r="S439" s="39"/>
    </row>
    <row r="440" spans="2:19" ht="15.75" x14ac:dyDescent="0.25">
      <c r="B440" s="38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7"/>
      <c r="N440" s="39"/>
      <c r="O440" s="39"/>
      <c r="P440" s="39"/>
      <c r="Q440" s="39"/>
      <c r="R440" s="39"/>
      <c r="S440" s="39"/>
    </row>
    <row r="441" spans="2:19" ht="15.75" x14ac:dyDescent="0.25">
      <c r="B441" s="38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7"/>
      <c r="N441" s="39"/>
      <c r="O441" s="39"/>
      <c r="P441" s="39"/>
      <c r="Q441" s="39"/>
      <c r="R441" s="39"/>
      <c r="S441" s="39"/>
    </row>
    <row r="442" spans="2:19" ht="15.75" x14ac:dyDescent="0.25">
      <c r="B442" s="38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7"/>
      <c r="N442" s="39"/>
      <c r="O442" s="39"/>
      <c r="P442" s="39"/>
      <c r="Q442" s="39"/>
      <c r="R442" s="39"/>
      <c r="S442" s="39"/>
    </row>
    <row r="443" spans="2:19" ht="15.75" x14ac:dyDescent="0.25">
      <c r="B443" s="38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7"/>
      <c r="N443" s="39"/>
      <c r="O443" s="39"/>
      <c r="P443" s="39"/>
      <c r="Q443" s="39"/>
      <c r="R443" s="39"/>
      <c r="S443" s="39"/>
    </row>
    <row r="444" spans="2:19" ht="15.75" x14ac:dyDescent="0.25">
      <c r="B444" s="38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7"/>
      <c r="N444" s="39"/>
      <c r="O444" s="39"/>
      <c r="P444" s="39"/>
      <c r="Q444" s="39"/>
      <c r="R444" s="39"/>
      <c r="S444" s="39"/>
    </row>
    <row r="445" spans="2:19" ht="15.75" x14ac:dyDescent="0.25">
      <c r="B445" s="38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7"/>
      <c r="N445" s="39"/>
      <c r="O445" s="39"/>
      <c r="P445" s="39"/>
      <c r="Q445" s="39"/>
      <c r="R445" s="39"/>
      <c r="S445" s="39"/>
    </row>
    <row r="446" spans="2:19" ht="15.75" x14ac:dyDescent="0.25">
      <c r="B446" s="38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7"/>
      <c r="N446" s="39"/>
      <c r="O446" s="39"/>
      <c r="P446" s="39"/>
      <c r="Q446" s="39"/>
      <c r="R446" s="39"/>
      <c r="S446" s="39"/>
    </row>
    <row r="447" spans="2:19" ht="15.75" x14ac:dyDescent="0.25">
      <c r="B447" s="38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7"/>
      <c r="N447" s="39"/>
      <c r="O447" s="39"/>
      <c r="P447" s="39"/>
      <c r="Q447" s="39"/>
      <c r="R447" s="39"/>
      <c r="S447" s="39"/>
    </row>
    <row r="448" spans="2:19" ht="15.75" x14ac:dyDescent="0.25">
      <c r="B448" s="38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7"/>
      <c r="N448" s="39"/>
      <c r="O448" s="39"/>
      <c r="P448" s="39"/>
      <c r="Q448" s="39"/>
      <c r="R448" s="39"/>
      <c r="S448" s="39"/>
    </row>
    <row r="449" spans="2:19" ht="15.75" x14ac:dyDescent="0.25">
      <c r="B449" s="38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7"/>
      <c r="N449" s="39"/>
      <c r="O449" s="39"/>
      <c r="P449" s="39"/>
      <c r="Q449" s="39"/>
      <c r="R449" s="39"/>
      <c r="S449" s="39"/>
    </row>
    <row r="450" spans="2:19" ht="15.75" x14ac:dyDescent="0.25">
      <c r="B450" s="38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7"/>
      <c r="N450" s="39"/>
      <c r="O450" s="39"/>
      <c r="P450" s="39"/>
      <c r="Q450" s="39"/>
      <c r="R450" s="39"/>
      <c r="S450" s="39"/>
    </row>
    <row r="451" spans="2:19" ht="15.75" x14ac:dyDescent="0.25">
      <c r="B451" s="38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7"/>
      <c r="N451" s="39"/>
      <c r="O451" s="39"/>
      <c r="P451" s="39"/>
      <c r="Q451" s="39"/>
      <c r="R451" s="39"/>
      <c r="S451" s="39"/>
    </row>
    <row r="452" spans="2:19" ht="15.75" x14ac:dyDescent="0.25">
      <c r="B452" s="38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</row>
    <row r="453" spans="2:19" ht="15.75" x14ac:dyDescent="0.25">
      <c r="B453" s="38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</row>
    <row r="454" spans="2:19" ht="15.75" x14ac:dyDescent="0.25">
      <c r="B454" s="38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</row>
  </sheetData>
  <mergeCells count="1">
    <mergeCell ref="A1:S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6"/>
  <sheetViews>
    <sheetView workbookViewId="0">
      <pane xSplit="1" ySplit="1" topLeftCell="B268" activePane="bottomRight" state="frozen"/>
      <selection pane="topRight" activeCell="B1" sqref="B1"/>
      <selection pane="bottomLeft" activeCell="A2" sqref="A2"/>
      <selection pane="bottomRight" activeCell="C275" sqref="C275"/>
    </sheetView>
  </sheetViews>
  <sheetFormatPr defaultRowHeight="15" x14ac:dyDescent="0.25"/>
  <cols>
    <col min="1" max="2" width="5.5703125" customWidth="1"/>
    <col min="3" max="3" width="9.140625" style="6"/>
    <col min="4" max="4" width="10.85546875" style="6" customWidth="1"/>
    <col min="5" max="5" width="13.7109375" customWidth="1"/>
    <col min="8" max="8" width="10.7109375" customWidth="1"/>
    <col min="9" max="10" width="10.5703125" customWidth="1"/>
    <col min="11" max="11" width="14.5703125" customWidth="1"/>
    <col min="12" max="13" width="11.140625" customWidth="1"/>
  </cols>
  <sheetData>
    <row r="1" spans="1:16" ht="30" x14ac:dyDescent="0.25">
      <c r="A1" t="s">
        <v>0</v>
      </c>
      <c r="B1" t="s">
        <v>2</v>
      </c>
      <c r="C1" s="6" t="s">
        <v>102</v>
      </c>
      <c r="D1" s="6" t="s">
        <v>103</v>
      </c>
      <c r="E1" s="6" t="s">
        <v>107</v>
      </c>
      <c r="F1" s="6" t="s">
        <v>104</v>
      </c>
      <c r="G1" s="6" t="s">
        <v>106</v>
      </c>
      <c r="H1" s="6" t="s">
        <v>105</v>
      </c>
      <c r="I1" s="2" t="s">
        <v>116</v>
      </c>
      <c r="J1" s="2" t="s">
        <v>117</v>
      </c>
      <c r="K1" s="6" t="s">
        <v>111</v>
      </c>
      <c r="L1" s="6" t="s">
        <v>112</v>
      </c>
      <c r="M1" s="10" t="s">
        <v>115</v>
      </c>
      <c r="N1" s="6" t="s">
        <v>108</v>
      </c>
      <c r="O1" s="6" t="s">
        <v>109</v>
      </c>
      <c r="P1" s="6" t="s">
        <v>110</v>
      </c>
    </row>
    <row r="2" spans="1:16" x14ac:dyDescent="0.25">
      <c r="A2">
        <f>Questionnaire!A3</f>
        <v>1</v>
      </c>
      <c r="B2" s="10" t="s">
        <v>11</v>
      </c>
      <c r="C2" s="9">
        <v>4.4999999999999998E-2</v>
      </c>
      <c r="D2" s="6">
        <v>51</v>
      </c>
      <c r="E2" s="10">
        <v>3</v>
      </c>
      <c r="F2" s="10">
        <v>0.8</v>
      </c>
      <c r="G2" s="10">
        <v>2</v>
      </c>
      <c r="H2" s="10">
        <v>3</v>
      </c>
      <c r="I2" s="12">
        <f>122.6/88.4</f>
        <v>1.3868778280542984</v>
      </c>
      <c r="J2" s="12">
        <f>I2*16</f>
        <v>22.190045248868774</v>
      </c>
      <c r="K2" s="10">
        <v>4.2</v>
      </c>
      <c r="L2" s="12">
        <f>((140-Questionnaire!B3)*Questionnaire!Y3)/(72*Results!I2)</f>
        <v>69.400489396411103</v>
      </c>
      <c r="M2" s="12">
        <f>D2</f>
        <v>51</v>
      </c>
      <c r="N2">
        <v>153.4</v>
      </c>
      <c r="O2">
        <v>6.54</v>
      </c>
      <c r="P2">
        <v>117</v>
      </c>
    </row>
    <row r="3" spans="1:16" x14ac:dyDescent="0.25">
      <c r="A3">
        <f>Questionnaire!A4</f>
        <v>2</v>
      </c>
      <c r="B3" s="10" t="s">
        <v>11</v>
      </c>
      <c r="C3" s="6">
        <v>8.5</v>
      </c>
      <c r="D3" s="6">
        <v>16</v>
      </c>
      <c r="E3" s="10">
        <v>6</v>
      </c>
      <c r="F3" s="10">
        <v>1.5</v>
      </c>
      <c r="G3" s="10">
        <v>3</v>
      </c>
      <c r="H3" s="10">
        <v>3.9</v>
      </c>
      <c r="I3" s="12">
        <v>0.9</v>
      </c>
      <c r="J3" s="12">
        <f t="shared" ref="J3:J66" si="0">I3*16</f>
        <v>14.4</v>
      </c>
      <c r="K3" s="10">
        <v>16.600000000000001</v>
      </c>
      <c r="L3" s="12">
        <f>((140-Questionnaire!B4)*Questionnaire!Y4)/(72*Results!I3)</f>
        <v>83.271604938271608</v>
      </c>
      <c r="M3" s="12">
        <f t="shared" ref="M3:M66" si="1">D3/J3</f>
        <v>1.1111111111111112</v>
      </c>
      <c r="N3">
        <v>140</v>
      </c>
      <c r="O3">
        <v>4.5</v>
      </c>
      <c r="P3">
        <v>86.2</v>
      </c>
    </row>
    <row r="4" spans="1:16" x14ac:dyDescent="0.25">
      <c r="A4">
        <f>Questionnaire!A5</f>
        <v>3</v>
      </c>
      <c r="B4" s="10" t="s">
        <v>11</v>
      </c>
      <c r="C4" s="9">
        <v>9.1999999999999998E-2</v>
      </c>
      <c r="D4" s="6">
        <v>29</v>
      </c>
      <c r="E4" s="10">
        <v>3</v>
      </c>
      <c r="F4" s="10">
        <v>0.9</v>
      </c>
      <c r="G4" s="10">
        <v>2</v>
      </c>
      <c r="H4" s="10">
        <v>2</v>
      </c>
      <c r="I4" s="12">
        <f>120.8/88.4</f>
        <v>1.3665158371040722</v>
      </c>
      <c r="J4" s="12">
        <f t="shared" si="0"/>
        <v>21.864253393665155</v>
      </c>
      <c r="K4" s="10">
        <v>4.5999999999999996</v>
      </c>
      <c r="L4" s="12">
        <f>((140-Questionnaire!B5)*Questionnaire!Y5)/(72*Results!I4)</f>
        <v>42.687637969094929</v>
      </c>
      <c r="M4" s="12">
        <f t="shared" si="1"/>
        <v>1.3263658940397354</v>
      </c>
      <c r="N4">
        <v>145.1</v>
      </c>
      <c r="O4">
        <v>5.16</v>
      </c>
      <c r="P4">
        <v>108.2</v>
      </c>
    </row>
    <row r="5" spans="1:16" x14ac:dyDescent="0.25">
      <c r="A5">
        <f>Questionnaire!A6</f>
        <v>4</v>
      </c>
      <c r="B5" s="10" t="s">
        <v>32</v>
      </c>
      <c r="C5" s="9" t="s">
        <v>405</v>
      </c>
      <c r="D5" s="6">
        <v>62</v>
      </c>
      <c r="E5" s="10">
        <v>7</v>
      </c>
      <c r="F5" s="10">
        <v>1.3</v>
      </c>
      <c r="G5" s="10">
        <v>2</v>
      </c>
      <c r="H5" s="10">
        <v>3.4</v>
      </c>
      <c r="I5" s="12">
        <f>92/88.4</f>
        <v>1.0407239819004523</v>
      </c>
      <c r="J5" s="12">
        <f t="shared" si="0"/>
        <v>16.651583710407238</v>
      </c>
      <c r="K5" s="10">
        <v>6.6</v>
      </c>
      <c r="L5" s="12">
        <f>(((140-Questionnaire!B6)*Questionnaire!Y6)/(72*Results!I5))*0.85</f>
        <v>81.424353864734314</v>
      </c>
      <c r="M5" s="12">
        <f t="shared" si="1"/>
        <v>3.7233695652173919</v>
      </c>
      <c r="N5">
        <v>145.30000000000001</v>
      </c>
      <c r="O5">
        <v>5.18</v>
      </c>
      <c r="P5">
        <v>110.4</v>
      </c>
    </row>
    <row r="6" spans="1:16" x14ac:dyDescent="0.25">
      <c r="A6">
        <f>Questionnaire!A7</f>
        <v>5</v>
      </c>
      <c r="B6" s="10" t="s">
        <v>32</v>
      </c>
      <c r="C6" s="9">
        <v>6.8000000000000005E-2</v>
      </c>
      <c r="D6" s="21">
        <v>160</v>
      </c>
      <c r="E6" s="10">
        <v>8</v>
      </c>
      <c r="F6" s="10">
        <v>1.6</v>
      </c>
      <c r="G6" s="10">
        <v>2</v>
      </c>
      <c r="H6" s="10">
        <v>3.4</v>
      </c>
      <c r="I6" s="12">
        <f>85.64/88.4</f>
        <v>0.96877828054298631</v>
      </c>
      <c r="J6" s="12">
        <f t="shared" si="0"/>
        <v>15.500452488687781</v>
      </c>
      <c r="K6" s="10">
        <v>3.7</v>
      </c>
      <c r="L6" s="12">
        <f>(((140-Questionnaire!B7)*Questionnaire!Y7)/(72*Results!I6))*0.85</f>
        <v>51.242231693393535</v>
      </c>
      <c r="M6" s="12">
        <f>D6/J6</f>
        <v>10.322279308734238</v>
      </c>
      <c r="N6">
        <v>148</v>
      </c>
      <c r="O6">
        <v>4.2</v>
      </c>
      <c r="P6">
        <v>107.9</v>
      </c>
    </row>
    <row r="7" spans="1:16" x14ac:dyDescent="0.25">
      <c r="A7">
        <f>Questionnaire!A8</f>
        <v>6</v>
      </c>
      <c r="B7" s="10" t="s">
        <v>11</v>
      </c>
      <c r="C7" s="9">
        <v>6.5000000000000002E-2</v>
      </c>
      <c r="D7" s="6">
        <v>39</v>
      </c>
      <c r="E7" s="10">
        <v>3</v>
      </c>
      <c r="F7" s="10">
        <v>1</v>
      </c>
      <c r="G7" s="10">
        <v>1</v>
      </c>
      <c r="H7" s="10">
        <v>1.4</v>
      </c>
      <c r="I7" s="12">
        <f>101.87/88.4</f>
        <v>1.1523755656108596</v>
      </c>
      <c r="J7" s="12">
        <f t="shared" si="0"/>
        <v>18.438009049773754</v>
      </c>
      <c r="K7" s="10">
        <v>4.2</v>
      </c>
      <c r="L7" s="12">
        <f>((140-Questionnaire!B8)*Questionnaire!Y8)/(72*Results!I7)</f>
        <v>74.194561696279578</v>
      </c>
      <c r="M7" s="12">
        <f t="shared" si="1"/>
        <v>2.1151958378325317</v>
      </c>
      <c r="N7">
        <v>145.4</v>
      </c>
      <c r="O7">
        <v>4.33</v>
      </c>
      <c r="P7">
        <v>109.5</v>
      </c>
    </row>
    <row r="8" spans="1:16" x14ac:dyDescent="0.25">
      <c r="A8">
        <f>Questionnaire!A9</f>
        <v>7</v>
      </c>
      <c r="B8" s="10" t="s">
        <v>32</v>
      </c>
      <c r="C8" s="9">
        <v>5.6000000000000001E-2</v>
      </c>
      <c r="D8" s="6">
        <v>19</v>
      </c>
      <c r="E8" s="10">
        <v>4</v>
      </c>
      <c r="F8" s="10">
        <v>1.4</v>
      </c>
      <c r="G8" s="10">
        <v>1</v>
      </c>
      <c r="H8" s="10">
        <v>1.3</v>
      </c>
      <c r="I8" s="12">
        <f>78.43/88.4</f>
        <v>0.88721719457013581</v>
      </c>
      <c r="J8" s="12">
        <f t="shared" si="0"/>
        <v>14.195475113122173</v>
      </c>
      <c r="K8" s="10">
        <v>2.8</v>
      </c>
      <c r="L8" s="12">
        <f>(((140-Questionnaire!B9)*Questionnaire!Y9)/(72*Results!I8))*0.85</f>
        <v>85.58595775426069</v>
      </c>
      <c r="M8" s="12">
        <f t="shared" si="1"/>
        <v>1.3384546729567766</v>
      </c>
      <c r="N8">
        <v>147.6</v>
      </c>
      <c r="O8">
        <v>4.8600000000000003</v>
      </c>
      <c r="P8">
        <v>111.9</v>
      </c>
    </row>
    <row r="9" spans="1:16" x14ac:dyDescent="0.25">
      <c r="A9">
        <f>Questionnaire!A10</f>
        <v>8</v>
      </c>
      <c r="B9" s="10" t="s">
        <v>11</v>
      </c>
      <c r="C9" s="9">
        <v>5.1999999999999998E-2</v>
      </c>
      <c r="D9" s="21">
        <v>4</v>
      </c>
      <c r="E9" s="10">
        <v>3</v>
      </c>
      <c r="F9" s="10">
        <v>1.1000000000000001</v>
      </c>
      <c r="G9" s="10">
        <v>1</v>
      </c>
      <c r="H9" s="10">
        <v>5.4</v>
      </c>
      <c r="I9" s="12">
        <f>187.51/88.4</f>
        <v>2.1211538461538457</v>
      </c>
      <c r="J9" s="12">
        <f t="shared" si="0"/>
        <v>33.938461538461532</v>
      </c>
      <c r="K9" s="10">
        <v>12.9</v>
      </c>
      <c r="L9" s="12">
        <f>((140-Questionnaire!B10)*Questionnaire!Y10)/(72*Results!I9)</f>
        <v>37.813538833484444</v>
      </c>
      <c r="M9" s="12">
        <f>D9/J9</f>
        <v>0.11786038077969177</v>
      </c>
      <c r="N9">
        <v>129.1</v>
      </c>
      <c r="O9">
        <v>5.81</v>
      </c>
      <c r="P9">
        <v>102</v>
      </c>
    </row>
    <row r="10" spans="1:16" x14ac:dyDescent="0.25">
      <c r="A10">
        <f>Questionnaire!A11</f>
        <v>9</v>
      </c>
      <c r="B10" s="10" t="s">
        <v>32</v>
      </c>
      <c r="C10" s="9">
        <v>7.0000000000000007E-2</v>
      </c>
      <c r="D10" s="6">
        <v>80</v>
      </c>
      <c r="E10" s="10">
        <v>3</v>
      </c>
      <c r="F10" s="10">
        <v>1.1000000000000001</v>
      </c>
      <c r="G10" s="10">
        <v>1</v>
      </c>
      <c r="H10" s="10">
        <v>2.2000000000000002</v>
      </c>
      <c r="I10" s="12">
        <f>281.26/88.4</f>
        <v>3.1816742081447962</v>
      </c>
      <c r="J10" s="12">
        <f t="shared" si="0"/>
        <v>50.906787330316739</v>
      </c>
      <c r="K10" s="10">
        <v>10.1</v>
      </c>
      <c r="L10" s="12">
        <f>(((140-Questionnaire!B11)*Questionnaire!Y11)/(72*Results!I10))*0.85</f>
        <v>17.914223296751917</v>
      </c>
      <c r="M10" s="12">
        <f t="shared" si="1"/>
        <v>1.5714996800113774</v>
      </c>
      <c r="N10">
        <v>143.80000000000001</v>
      </c>
      <c r="O10">
        <v>6.08</v>
      </c>
      <c r="P10">
        <v>110.6</v>
      </c>
    </row>
    <row r="11" spans="1:16" x14ac:dyDescent="0.25">
      <c r="A11">
        <f>Questionnaire!A12</f>
        <v>10</v>
      </c>
      <c r="B11" s="10" t="s">
        <v>32</v>
      </c>
      <c r="C11" s="9">
        <v>7.6999999999999999E-2</v>
      </c>
      <c r="D11" s="6">
        <v>8</v>
      </c>
      <c r="E11" s="10">
        <v>6</v>
      </c>
      <c r="F11" s="10">
        <v>1.5</v>
      </c>
      <c r="G11" s="10">
        <v>4</v>
      </c>
      <c r="H11" s="10">
        <v>2.5</v>
      </c>
      <c r="I11" s="12">
        <v>0.9</v>
      </c>
      <c r="J11" s="12">
        <f t="shared" si="0"/>
        <v>14.4</v>
      </c>
      <c r="K11" s="10">
        <v>4.5</v>
      </c>
      <c r="L11" s="12">
        <f>(((140-Questionnaire!B12)*Questionnaire!Y12)/(72*Results!I11))*0.85</f>
        <v>95.861111111111114</v>
      </c>
      <c r="M11" s="12">
        <f t="shared" si="1"/>
        <v>0.55555555555555558</v>
      </c>
      <c r="N11">
        <v>148.19999999999999</v>
      </c>
      <c r="O11">
        <v>4.8</v>
      </c>
      <c r="P11">
        <v>110.1</v>
      </c>
    </row>
    <row r="12" spans="1:16" x14ac:dyDescent="0.25">
      <c r="A12">
        <f>Questionnaire!A13</f>
        <v>11</v>
      </c>
      <c r="B12" s="10" t="s">
        <v>32</v>
      </c>
      <c r="C12" s="9">
        <v>4.1000000000000002E-2</v>
      </c>
      <c r="D12" s="6">
        <v>5</v>
      </c>
      <c r="E12" s="10">
        <v>5</v>
      </c>
      <c r="F12" s="10">
        <v>0.9</v>
      </c>
      <c r="G12" s="10">
        <v>3</v>
      </c>
      <c r="H12" s="10">
        <v>2.2000000000000002</v>
      </c>
      <c r="I12" s="12">
        <f>95.56/88.4</f>
        <v>1.0809954751131221</v>
      </c>
      <c r="J12" s="12">
        <f t="shared" si="0"/>
        <v>17.295927601809954</v>
      </c>
      <c r="K12" s="10">
        <v>5.8</v>
      </c>
      <c r="L12" s="12">
        <f>(((140-Questionnaire!B13)*Questionnaire!Y13)/(72*Results!I12))*0.85</f>
        <v>91.11393365424864</v>
      </c>
      <c r="M12" s="12">
        <f t="shared" si="1"/>
        <v>0.28908539137714528</v>
      </c>
      <c r="N12">
        <v>142.80000000000001</v>
      </c>
      <c r="O12">
        <v>3.59</v>
      </c>
      <c r="P12">
        <v>106.4</v>
      </c>
    </row>
    <row r="13" spans="1:16" x14ac:dyDescent="0.25">
      <c r="A13">
        <f>Questionnaire!A14</f>
        <v>12</v>
      </c>
      <c r="B13" s="10" t="s">
        <v>32</v>
      </c>
      <c r="C13" s="9">
        <v>0.08</v>
      </c>
      <c r="D13" s="6">
        <v>54</v>
      </c>
      <c r="E13" s="10">
        <v>3</v>
      </c>
      <c r="F13" s="10">
        <v>1.4</v>
      </c>
      <c r="G13" s="10">
        <v>1</v>
      </c>
      <c r="H13" s="10">
        <v>1.6</v>
      </c>
      <c r="I13" s="12">
        <f>89.25/88.4</f>
        <v>1.0096153846153846</v>
      </c>
      <c r="J13" s="12">
        <f t="shared" si="0"/>
        <v>16.153846153846153</v>
      </c>
      <c r="K13" s="10">
        <v>3.8</v>
      </c>
      <c r="L13" s="12">
        <f>(((140-Questionnaire!B14)*Questionnaire!Y14)/(72*Results!I13))*0.85</f>
        <v>74.648888888888891</v>
      </c>
      <c r="M13" s="12">
        <f t="shared" si="1"/>
        <v>3.342857142857143</v>
      </c>
      <c r="N13">
        <v>145.4</v>
      </c>
      <c r="O13">
        <v>5.51</v>
      </c>
      <c r="P13">
        <v>113.9</v>
      </c>
    </row>
    <row r="14" spans="1:16" x14ac:dyDescent="0.25">
      <c r="A14">
        <f>Questionnaire!A15</f>
        <v>13</v>
      </c>
      <c r="B14" s="10" t="s">
        <v>32</v>
      </c>
      <c r="C14" s="9">
        <v>7.8E-2</v>
      </c>
      <c r="D14" s="6">
        <v>140</v>
      </c>
      <c r="E14" s="10">
        <v>5</v>
      </c>
      <c r="F14" s="10">
        <v>1.2</v>
      </c>
      <c r="G14" s="10">
        <v>1</v>
      </c>
      <c r="H14" s="10">
        <v>2.2000000000000002</v>
      </c>
      <c r="I14" s="12">
        <f>84.74/88.4</f>
        <v>0.95859728506787323</v>
      </c>
      <c r="J14" s="12">
        <f t="shared" si="0"/>
        <v>15.337556561085972</v>
      </c>
      <c r="K14" s="10">
        <v>5.5</v>
      </c>
      <c r="L14" s="12">
        <f>(((140-Questionnaire!B15)*Questionnaire!Y15)/(72*Results!I14))*0.85</f>
        <v>65.431978207851472</v>
      </c>
      <c r="M14" s="12">
        <f t="shared" si="1"/>
        <v>9.1279206986075057</v>
      </c>
      <c r="N14">
        <v>142.30000000000001</v>
      </c>
      <c r="O14">
        <v>4.41</v>
      </c>
      <c r="P14">
        <v>108.1</v>
      </c>
    </row>
    <row r="15" spans="1:16" x14ac:dyDescent="0.25">
      <c r="A15">
        <f>Questionnaire!A16</f>
        <v>14</v>
      </c>
      <c r="B15" s="10" t="s">
        <v>32</v>
      </c>
      <c r="C15" s="9">
        <v>6.2E-2</v>
      </c>
      <c r="D15" s="6">
        <v>40</v>
      </c>
      <c r="E15" s="10">
        <v>5</v>
      </c>
      <c r="F15" s="10">
        <v>1.8</v>
      </c>
      <c r="G15" s="10">
        <v>1</v>
      </c>
      <c r="H15" s="10">
        <v>4.9000000000000004</v>
      </c>
      <c r="I15" s="12">
        <f>100.96/88.4</f>
        <v>1.1420814479638008</v>
      </c>
      <c r="J15" s="12">
        <f t="shared" si="0"/>
        <v>18.273303167420814</v>
      </c>
      <c r="K15" s="10">
        <v>3.4</v>
      </c>
      <c r="L15" s="12">
        <f>(((140-Questionnaire!B16)*Questionnaire!Y16)/(72*Results!I15))*0.85</f>
        <v>50.278570170804727</v>
      </c>
      <c r="M15" s="12">
        <f t="shared" si="1"/>
        <v>2.188985736925515</v>
      </c>
      <c r="N15">
        <v>143.9</v>
      </c>
      <c r="O15">
        <v>4.45</v>
      </c>
      <c r="P15">
        <v>107.9</v>
      </c>
    </row>
    <row r="16" spans="1:16" x14ac:dyDescent="0.25">
      <c r="A16">
        <f>Questionnaire!A17</f>
        <v>15</v>
      </c>
      <c r="B16" s="10" t="s">
        <v>32</v>
      </c>
      <c r="C16" s="9">
        <v>4.8000000000000001E-2</v>
      </c>
      <c r="D16" s="6">
        <v>69</v>
      </c>
      <c r="E16" s="10">
        <v>4</v>
      </c>
      <c r="F16" s="10">
        <v>1.5</v>
      </c>
      <c r="G16" s="10">
        <v>3</v>
      </c>
      <c r="H16" s="10">
        <v>1.2</v>
      </c>
      <c r="I16" s="12">
        <f>109.08/88.4</f>
        <v>1.2339366515837102</v>
      </c>
      <c r="J16" s="12">
        <f t="shared" si="0"/>
        <v>19.742986425339364</v>
      </c>
      <c r="K16" s="10">
        <v>4.8</v>
      </c>
      <c r="L16" s="12">
        <f>(((140-Questionnaire!B17)*Questionnaire!Y17)/(72*Results!I16))*0.85</f>
        <v>60.886882206739202</v>
      </c>
      <c r="M16" s="12">
        <f t="shared" si="1"/>
        <v>3.4949119911991202</v>
      </c>
      <c r="N16">
        <v>147.80000000000001</v>
      </c>
      <c r="O16">
        <v>5.87</v>
      </c>
      <c r="P16">
        <v>112.8</v>
      </c>
    </row>
    <row r="17" spans="1:16" x14ac:dyDescent="0.25">
      <c r="A17">
        <f>Questionnaire!A18</f>
        <v>16</v>
      </c>
      <c r="B17" s="10" t="s">
        <v>32</v>
      </c>
      <c r="C17" s="9">
        <v>0.112</v>
      </c>
      <c r="D17" s="6">
        <v>29</v>
      </c>
      <c r="E17" s="10">
        <v>4</v>
      </c>
      <c r="F17" s="10">
        <v>1.3</v>
      </c>
      <c r="G17" s="10">
        <v>2</v>
      </c>
      <c r="H17" s="10">
        <v>2.8</v>
      </c>
      <c r="I17" s="12">
        <f>95.56/88.4</f>
        <v>1.0809954751131221</v>
      </c>
      <c r="J17" s="12">
        <f t="shared" si="0"/>
        <v>17.295927601809954</v>
      </c>
      <c r="K17" s="10">
        <v>3.5</v>
      </c>
      <c r="L17" s="12">
        <f>(((140-Questionnaire!B18)*Questionnaire!Y18)/(72*Results!I17))*0.85</f>
        <v>59.628680061392501</v>
      </c>
      <c r="M17" s="12">
        <f t="shared" si="1"/>
        <v>1.6766952699874424</v>
      </c>
      <c r="N17">
        <v>146.4</v>
      </c>
      <c r="O17">
        <v>4.75</v>
      </c>
      <c r="P17">
        <v>109.2</v>
      </c>
    </row>
    <row r="18" spans="1:16" x14ac:dyDescent="0.25">
      <c r="A18">
        <f>Questionnaire!A19</f>
        <v>17</v>
      </c>
      <c r="B18" s="10" t="s">
        <v>32</v>
      </c>
      <c r="C18" s="9">
        <v>8.5999999999999993E-2</v>
      </c>
      <c r="D18" s="6">
        <v>18</v>
      </c>
      <c r="E18" s="10">
        <v>5</v>
      </c>
      <c r="F18" s="10">
        <v>1.4</v>
      </c>
      <c r="G18" s="10">
        <v>3</v>
      </c>
      <c r="H18" s="10">
        <v>2.5</v>
      </c>
      <c r="I18" s="12">
        <f>76.62/88.4</f>
        <v>0.86674208144796383</v>
      </c>
      <c r="J18" s="12">
        <f t="shared" si="0"/>
        <v>13.867873303167421</v>
      </c>
      <c r="K18" s="10">
        <v>2.5</v>
      </c>
      <c r="L18" s="12">
        <f>(((140-Questionnaire!B19)*Questionnaire!Y19)/(72*Results!I18))*0.85</f>
        <v>69.792003828417293</v>
      </c>
      <c r="M18" s="12">
        <f t="shared" si="1"/>
        <v>1.2979639780736101</v>
      </c>
      <c r="N18">
        <v>145</v>
      </c>
      <c r="O18">
        <v>4.5999999999999996</v>
      </c>
      <c r="P18">
        <v>110.4</v>
      </c>
    </row>
    <row r="19" spans="1:16" x14ac:dyDescent="0.25">
      <c r="A19">
        <f>Questionnaire!A20</f>
        <v>18</v>
      </c>
      <c r="B19" s="10" t="s">
        <v>32</v>
      </c>
      <c r="C19" s="9">
        <v>0.107</v>
      </c>
      <c r="D19" s="6">
        <v>74</v>
      </c>
      <c r="E19" s="10">
        <v>5</v>
      </c>
      <c r="F19" s="10">
        <v>1.3</v>
      </c>
      <c r="G19" s="10">
        <v>2</v>
      </c>
      <c r="H19" s="10">
        <v>3.1</v>
      </c>
      <c r="I19" s="12">
        <f>99.16/88.4</f>
        <v>1.1217194570135745</v>
      </c>
      <c r="J19" s="12">
        <f t="shared" si="0"/>
        <v>17.947511312217191</v>
      </c>
      <c r="K19" s="10">
        <v>3.1</v>
      </c>
      <c r="L19" s="12">
        <f>(((140-Questionnaire!B20)*Questionnaire!Y20)/(72*Results!I19))*0.85</f>
        <v>84.869705526421953</v>
      </c>
      <c r="M19" s="12">
        <f t="shared" si="1"/>
        <v>4.1231343283582094</v>
      </c>
      <c r="N19">
        <v>143.6</v>
      </c>
      <c r="O19">
        <v>4.47</v>
      </c>
      <c r="P19">
        <v>105.2</v>
      </c>
    </row>
    <row r="20" spans="1:16" x14ac:dyDescent="0.25">
      <c r="A20">
        <f>Questionnaire!A21</f>
        <v>19</v>
      </c>
      <c r="B20" s="10" t="s">
        <v>32</v>
      </c>
      <c r="C20" s="9">
        <v>0.15</v>
      </c>
      <c r="D20" s="6">
        <v>100</v>
      </c>
      <c r="E20" s="10">
        <v>4</v>
      </c>
      <c r="F20" s="10">
        <v>1.3</v>
      </c>
      <c r="G20" s="10">
        <v>2</v>
      </c>
      <c r="H20" s="10">
        <v>1.8</v>
      </c>
      <c r="I20" s="12">
        <f>99.16/88.4</f>
        <v>1.1217194570135745</v>
      </c>
      <c r="J20" s="12">
        <f t="shared" si="0"/>
        <v>17.947511312217191</v>
      </c>
      <c r="K20" s="10">
        <v>3.7</v>
      </c>
      <c r="L20" s="12">
        <f>(((140-Questionnaire!B21)*Questionnaire!Y21)/(72*Results!I20))*0.85</f>
        <v>51.307020640043042</v>
      </c>
      <c r="M20" s="12">
        <f t="shared" si="1"/>
        <v>5.5718031464300131</v>
      </c>
      <c r="N20">
        <v>140.9</v>
      </c>
      <c r="O20">
        <v>4.42</v>
      </c>
      <c r="P20">
        <v>106.1</v>
      </c>
    </row>
    <row r="21" spans="1:16" x14ac:dyDescent="0.25">
      <c r="A21">
        <f>Questionnaire!A22</f>
        <v>20</v>
      </c>
      <c r="B21" s="10" t="s">
        <v>32</v>
      </c>
      <c r="C21" s="9">
        <v>0.11799999999999999</v>
      </c>
      <c r="D21" s="6">
        <v>71</v>
      </c>
      <c r="E21" s="10">
        <v>5</v>
      </c>
      <c r="F21" s="10">
        <v>1.7</v>
      </c>
      <c r="G21" s="10">
        <v>2</v>
      </c>
      <c r="H21" s="10">
        <v>2.1</v>
      </c>
      <c r="I21" s="12">
        <f>92.85/88.4</f>
        <v>1.0503393665158369</v>
      </c>
      <c r="J21" s="12">
        <f t="shared" si="0"/>
        <v>16.805429864253391</v>
      </c>
      <c r="K21" s="10">
        <v>4.3</v>
      </c>
      <c r="L21" s="12">
        <f>(((140-Questionnaire!B22)*Questionnaire!Y22)/(72*Results!I21))*0.85</f>
        <v>91.952423263327958</v>
      </c>
      <c r="M21" s="12">
        <f t="shared" si="1"/>
        <v>4.2248249865374268</v>
      </c>
      <c r="N21">
        <v>137.80000000000001</v>
      </c>
      <c r="O21">
        <v>3.83</v>
      </c>
      <c r="P21">
        <v>111.9</v>
      </c>
    </row>
    <row r="22" spans="1:16" x14ac:dyDescent="0.25">
      <c r="A22">
        <f>Questionnaire!A23</f>
        <v>21</v>
      </c>
      <c r="B22" s="10" t="s">
        <v>11</v>
      </c>
      <c r="C22" s="9">
        <v>4.9000000000000002E-2</v>
      </c>
      <c r="D22" s="6">
        <v>84</v>
      </c>
      <c r="E22" s="10">
        <v>3</v>
      </c>
      <c r="F22" s="10">
        <v>1</v>
      </c>
      <c r="G22" s="10">
        <v>1</v>
      </c>
      <c r="H22" s="10">
        <v>2.2999999999999998</v>
      </c>
      <c r="I22" s="12">
        <f>200.13/88.4</f>
        <v>2.2639140271493212</v>
      </c>
      <c r="J22" s="12">
        <f t="shared" si="0"/>
        <v>36.222624434389139</v>
      </c>
      <c r="K22" s="10">
        <v>9.1</v>
      </c>
      <c r="L22" s="12">
        <f>((140-Questionnaire!B23)*Questionnaire!Y23)/(72*Results!I22)</f>
        <v>30.416840165003858</v>
      </c>
      <c r="M22" s="12">
        <f t="shared" si="1"/>
        <v>2.3189926547743966</v>
      </c>
      <c r="N22">
        <v>143.9</v>
      </c>
      <c r="O22">
        <v>6.04</v>
      </c>
      <c r="P22">
        <v>111.9</v>
      </c>
    </row>
    <row r="23" spans="1:16" x14ac:dyDescent="0.25">
      <c r="A23">
        <f>Questionnaire!A24</f>
        <v>22</v>
      </c>
      <c r="B23" s="10" t="s">
        <v>11</v>
      </c>
      <c r="C23" s="9">
        <v>9.8000000000000004E-2</v>
      </c>
      <c r="D23" s="6">
        <v>19</v>
      </c>
      <c r="E23" s="10">
        <v>4</v>
      </c>
      <c r="F23" s="10">
        <v>1</v>
      </c>
      <c r="G23" s="10">
        <v>1.2</v>
      </c>
      <c r="H23" s="54" t="s">
        <v>406</v>
      </c>
      <c r="I23" s="12">
        <f>110/88.4</f>
        <v>1.244343891402715</v>
      </c>
      <c r="J23" s="12">
        <f t="shared" si="0"/>
        <v>19.909502262443439</v>
      </c>
      <c r="K23" s="10">
        <v>7.1</v>
      </c>
      <c r="L23" s="12">
        <f>((140-Questionnaire!B24)*Questionnaire!Y24)/(72*Results!I23)</f>
        <v>92.250757575757575</v>
      </c>
      <c r="M23" s="12">
        <f t="shared" si="1"/>
        <v>0.95431818181818184</v>
      </c>
      <c r="N23">
        <v>138</v>
      </c>
      <c r="O23">
        <v>4.0999999999999996</v>
      </c>
      <c r="P23">
        <v>102</v>
      </c>
    </row>
    <row r="24" spans="1:16" x14ac:dyDescent="0.25">
      <c r="A24">
        <f>Questionnaire!A25</f>
        <v>23</v>
      </c>
      <c r="B24" s="10" t="s">
        <v>11</v>
      </c>
      <c r="C24" s="9">
        <v>5.0999999999999997E-2</v>
      </c>
      <c r="D24" s="6">
        <v>16</v>
      </c>
      <c r="E24" s="10">
        <v>8</v>
      </c>
      <c r="F24" s="10">
        <v>1.6</v>
      </c>
      <c r="G24" s="10">
        <v>7</v>
      </c>
      <c r="H24" s="10">
        <v>3.1</v>
      </c>
      <c r="I24" s="12">
        <f>123.5/88.4</f>
        <v>1.3970588235294117</v>
      </c>
      <c r="J24" s="12">
        <f t="shared" si="0"/>
        <v>22.352941176470587</v>
      </c>
      <c r="K24" s="10">
        <v>5.4</v>
      </c>
      <c r="L24" s="12">
        <f>((140-Questionnaire!B25)*Questionnaire!Y25)/(72*Results!I24)</f>
        <v>80.894152046783631</v>
      </c>
      <c r="M24" s="12">
        <f t="shared" si="1"/>
        <v>0.71578947368421053</v>
      </c>
      <c r="N24">
        <v>149.69999999999999</v>
      </c>
      <c r="O24">
        <v>5.51</v>
      </c>
      <c r="P24">
        <v>111.4</v>
      </c>
    </row>
    <row r="25" spans="1:16" x14ac:dyDescent="0.25">
      <c r="A25">
        <f>Questionnaire!A26</f>
        <v>24</v>
      </c>
      <c r="B25" s="10" t="s">
        <v>11</v>
      </c>
      <c r="C25" s="9">
        <v>4.1000000000000002E-2</v>
      </c>
      <c r="D25" s="6">
        <v>124</v>
      </c>
      <c r="E25" s="10">
        <v>4</v>
      </c>
      <c r="F25" s="10">
        <v>1.2</v>
      </c>
      <c r="G25" s="10">
        <v>2</v>
      </c>
      <c r="H25" s="10">
        <v>2.2000000000000002</v>
      </c>
      <c r="I25" s="12">
        <f>642.75/88.4</f>
        <v>7.2709276018099542</v>
      </c>
      <c r="J25" s="12">
        <f t="shared" si="0"/>
        <v>116.33484162895927</v>
      </c>
      <c r="K25" s="10">
        <v>26.5</v>
      </c>
      <c r="L25" s="12">
        <f>((140-Questionnaire!B26)*Questionnaire!Y26)/(72*Results!I25)</f>
        <v>9.8336833916763915</v>
      </c>
      <c r="M25" s="12">
        <f t="shared" si="1"/>
        <v>1.0658887592376507</v>
      </c>
      <c r="N25">
        <v>140.1</v>
      </c>
      <c r="O25">
        <v>5.37</v>
      </c>
      <c r="P25">
        <v>103.1</v>
      </c>
    </row>
    <row r="26" spans="1:16" x14ac:dyDescent="0.25">
      <c r="A26">
        <f>Questionnaire!A27</f>
        <v>25</v>
      </c>
      <c r="B26" s="10" t="s">
        <v>32</v>
      </c>
      <c r="C26" s="9">
        <v>4.8000000000000001E-2</v>
      </c>
      <c r="D26" s="6">
        <v>58</v>
      </c>
      <c r="E26" s="10">
        <v>5</v>
      </c>
      <c r="F26" s="10">
        <v>1.3</v>
      </c>
      <c r="G26" s="10">
        <v>2</v>
      </c>
      <c r="H26" s="10">
        <v>2.4</v>
      </c>
      <c r="I26" s="12">
        <f>90.15/88.4</f>
        <v>1.0197963800904977</v>
      </c>
      <c r="J26" s="12">
        <f t="shared" si="0"/>
        <v>16.316742081447963</v>
      </c>
      <c r="K26" s="10">
        <v>4.9000000000000004</v>
      </c>
      <c r="L26" s="12">
        <f>(((140-Questionnaire!B27)*Questionnaire!Y27)/(72*Results!I26))*0.85</f>
        <v>71.35683736981575</v>
      </c>
      <c r="M26" s="12">
        <f t="shared" si="1"/>
        <v>3.5546311702717697</v>
      </c>
      <c r="N26">
        <v>144.80000000000001</v>
      </c>
      <c r="O26">
        <v>4.46</v>
      </c>
      <c r="P26">
        <v>107.6</v>
      </c>
    </row>
    <row r="27" spans="1:16" x14ac:dyDescent="0.25">
      <c r="A27">
        <f>Questionnaire!A28</f>
        <v>26</v>
      </c>
      <c r="B27" s="10" t="s">
        <v>32</v>
      </c>
      <c r="C27" s="9">
        <v>6.5000000000000002E-2</v>
      </c>
      <c r="D27" s="6">
        <v>62</v>
      </c>
      <c r="E27" s="10">
        <v>6</v>
      </c>
      <c r="F27" s="10">
        <v>1.3</v>
      </c>
      <c r="G27" s="10">
        <v>2</v>
      </c>
      <c r="H27" s="10">
        <v>2</v>
      </c>
      <c r="I27" s="12">
        <f>92.85/88.4</f>
        <v>1.0503393665158369</v>
      </c>
      <c r="J27" s="12">
        <f t="shared" si="0"/>
        <v>16.805429864253391</v>
      </c>
      <c r="K27" s="10">
        <v>5.3</v>
      </c>
      <c r="L27" s="12">
        <f>(((140-Questionnaire!B28)*Questionnaire!Y28)/(72*Results!I27))*0.85</f>
        <v>56.648357565966613</v>
      </c>
      <c r="M27" s="12">
        <f t="shared" si="1"/>
        <v>3.6892837910608516</v>
      </c>
      <c r="N27">
        <v>154</v>
      </c>
      <c r="O27">
        <v>4.66</v>
      </c>
      <c r="P27">
        <v>109.9</v>
      </c>
    </row>
    <row r="28" spans="1:16" x14ac:dyDescent="0.25">
      <c r="A28">
        <f>Questionnaire!A29</f>
        <v>27</v>
      </c>
      <c r="B28" s="10" t="s">
        <v>32</v>
      </c>
      <c r="C28" s="9">
        <v>9.9000000000000005E-2</v>
      </c>
      <c r="D28" s="6">
        <v>9</v>
      </c>
      <c r="E28" s="10">
        <v>6</v>
      </c>
      <c r="F28" s="10">
        <v>1.9</v>
      </c>
      <c r="G28" s="10">
        <v>3</v>
      </c>
      <c r="H28" s="10">
        <v>2.9</v>
      </c>
      <c r="I28" s="12">
        <v>1.4</v>
      </c>
      <c r="J28" s="12">
        <f t="shared" si="0"/>
        <v>22.4</v>
      </c>
      <c r="K28" s="10">
        <v>6.4</v>
      </c>
      <c r="L28" s="12">
        <f>(((140-Questionnaire!B29)*Questionnaire!Y29)/(72*Results!I28))*0.85</f>
        <v>26.857638888888889</v>
      </c>
      <c r="M28" s="12">
        <f t="shared" si="1"/>
        <v>0.4017857142857143</v>
      </c>
      <c r="N28">
        <v>138.5</v>
      </c>
      <c r="O28">
        <v>5.38</v>
      </c>
      <c r="P28">
        <v>106.5</v>
      </c>
    </row>
    <row r="29" spans="1:16" x14ac:dyDescent="0.25">
      <c r="A29">
        <f>Questionnaire!A30</f>
        <v>28</v>
      </c>
      <c r="B29" s="10" t="s">
        <v>32</v>
      </c>
      <c r="C29" s="9">
        <v>0.13200000000000001</v>
      </c>
      <c r="D29" s="6">
        <v>60</v>
      </c>
      <c r="E29" s="10">
        <v>6</v>
      </c>
      <c r="F29" s="10">
        <v>1.1000000000000001</v>
      </c>
      <c r="G29" s="10">
        <v>2</v>
      </c>
      <c r="H29" s="10">
        <v>4.5999999999999996</v>
      </c>
      <c r="I29" s="12">
        <f>123.5/88.4</f>
        <v>1.3970588235294117</v>
      </c>
      <c r="J29" s="12">
        <f t="shared" si="0"/>
        <v>22.352941176470587</v>
      </c>
      <c r="K29" s="10">
        <v>8.5</v>
      </c>
      <c r="L29" s="12">
        <f>(((140-Questionnaire!B30)*Questionnaire!Y30)/(72*Results!I29))*0.85</f>
        <v>34.899707602339184</v>
      </c>
      <c r="M29" s="12">
        <f t="shared" si="1"/>
        <v>2.6842105263157898</v>
      </c>
      <c r="N29">
        <v>134.6</v>
      </c>
      <c r="O29">
        <v>5.5</v>
      </c>
      <c r="P29">
        <v>102</v>
      </c>
    </row>
    <row r="30" spans="1:16" x14ac:dyDescent="0.25">
      <c r="A30">
        <f>Questionnaire!A31</f>
        <v>29</v>
      </c>
      <c r="B30" s="10" t="s">
        <v>32</v>
      </c>
      <c r="C30" s="9">
        <v>7.1999999999999995E-2</v>
      </c>
      <c r="D30" s="6">
        <v>62</v>
      </c>
      <c r="E30" s="10">
        <v>6</v>
      </c>
      <c r="F30" s="10">
        <v>1.1000000000000001</v>
      </c>
      <c r="G30" s="10">
        <v>4</v>
      </c>
      <c r="H30" s="10">
        <v>1.5</v>
      </c>
      <c r="I30" s="12">
        <f>96.46/88.4</f>
        <v>1.0911764705882352</v>
      </c>
      <c r="J30" s="12">
        <f t="shared" si="0"/>
        <v>17.458823529411763</v>
      </c>
      <c r="K30" s="10">
        <v>5.5</v>
      </c>
      <c r="L30" s="12">
        <f>(((140-Questionnaire!B31)*Questionnaire!Y31)/(72*Results!I30))*0.85</f>
        <v>74.262353998203054</v>
      </c>
      <c r="M30" s="12">
        <f t="shared" si="1"/>
        <v>3.5512129380053912</v>
      </c>
      <c r="N30">
        <v>144</v>
      </c>
      <c r="O30">
        <v>5.07</v>
      </c>
      <c r="P30">
        <v>107</v>
      </c>
    </row>
    <row r="31" spans="1:16" x14ac:dyDescent="0.25">
      <c r="A31">
        <f>Questionnaire!A32</f>
        <v>30</v>
      </c>
      <c r="B31" s="10" t="s">
        <v>11</v>
      </c>
      <c r="C31" s="9">
        <v>5.7000000000000002E-2</v>
      </c>
      <c r="D31" s="21">
        <v>160</v>
      </c>
      <c r="E31" s="10">
        <v>6</v>
      </c>
      <c r="F31" s="10">
        <v>1.2</v>
      </c>
      <c r="G31" s="10">
        <v>2</v>
      </c>
      <c r="H31" s="10">
        <v>1.8</v>
      </c>
      <c r="I31" s="12">
        <f>78.43/88.4</f>
        <v>0.88721719457013581</v>
      </c>
      <c r="J31" s="12">
        <f t="shared" si="0"/>
        <v>14.195475113122173</v>
      </c>
      <c r="K31" s="10">
        <v>3.6</v>
      </c>
      <c r="L31" s="12">
        <f>((140-Questionnaire!B32)*Questionnaire!Y32)/(72*Results!I31)</f>
        <v>88.572825024437918</v>
      </c>
      <c r="M31" s="12">
        <f t="shared" si="1"/>
        <v>11.271197245951804</v>
      </c>
      <c r="N31">
        <v>139.69999999999999</v>
      </c>
      <c r="O31">
        <v>3.75</v>
      </c>
      <c r="P31">
        <v>103.7</v>
      </c>
    </row>
    <row r="32" spans="1:16" x14ac:dyDescent="0.25">
      <c r="A32">
        <f>Questionnaire!A33</f>
        <v>31</v>
      </c>
      <c r="B32" s="10" t="s">
        <v>32</v>
      </c>
      <c r="C32" s="9">
        <v>7.0000000000000007E-2</v>
      </c>
      <c r="D32" s="21">
        <v>4</v>
      </c>
      <c r="E32" s="10">
        <v>4</v>
      </c>
      <c r="F32" s="10">
        <v>1.2</v>
      </c>
      <c r="G32" s="10">
        <v>2</v>
      </c>
      <c r="H32" s="10">
        <v>3.8</v>
      </c>
      <c r="I32" s="12">
        <f>92.85/88.4</f>
        <v>1.0503393665158369</v>
      </c>
      <c r="J32" s="12">
        <f t="shared" si="0"/>
        <v>16.805429864253391</v>
      </c>
      <c r="K32" s="10">
        <v>4.9000000000000004</v>
      </c>
      <c r="L32" s="12">
        <f>(((140-Questionnaire!B33)*Questionnaire!Y33)/(72*Results!I32))*0.85</f>
        <v>56.55843953808413</v>
      </c>
      <c r="M32" s="12">
        <f t="shared" si="1"/>
        <v>0.2380183091007001</v>
      </c>
      <c r="N32">
        <v>148.4</v>
      </c>
      <c r="O32">
        <v>5.17</v>
      </c>
      <c r="P32">
        <v>111.1</v>
      </c>
    </row>
    <row r="33" spans="1:16" x14ac:dyDescent="0.25">
      <c r="A33">
        <f>Questionnaire!A34</f>
        <v>32</v>
      </c>
      <c r="B33" s="10" t="s">
        <v>32</v>
      </c>
      <c r="C33" s="9">
        <v>8.6999999999999994E-2</v>
      </c>
      <c r="D33" s="6">
        <v>24</v>
      </c>
      <c r="E33" s="10">
        <v>5</v>
      </c>
      <c r="F33" s="10">
        <v>1.3</v>
      </c>
      <c r="G33" s="10">
        <v>2</v>
      </c>
      <c r="H33" s="10">
        <v>0.9</v>
      </c>
      <c r="I33" s="12">
        <f>96.46/88.4</f>
        <v>1.0911764705882352</v>
      </c>
      <c r="J33" s="12">
        <f t="shared" si="0"/>
        <v>17.458823529411763</v>
      </c>
      <c r="K33" s="10">
        <v>3.7</v>
      </c>
      <c r="L33" s="12">
        <f>(((140-Questionnaire!B34)*Questionnaire!Y34)/(72*Results!I33))*0.85</f>
        <v>61.79874213836478</v>
      </c>
      <c r="M33" s="12">
        <f t="shared" si="1"/>
        <v>1.3746630727762805</v>
      </c>
      <c r="N33">
        <v>147.9</v>
      </c>
      <c r="O33">
        <v>5.83</v>
      </c>
      <c r="P33">
        <v>112.9</v>
      </c>
    </row>
    <row r="34" spans="1:16" x14ac:dyDescent="0.25">
      <c r="A34">
        <f>Questionnaire!A35</f>
        <v>33</v>
      </c>
      <c r="B34" s="10" t="s">
        <v>11</v>
      </c>
      <c r="C34" s="9">
        <v>7.8E-2</v>
      </c>
      <c r="D34" s="6">
        <v>15</v>
      </c>
      <c r="E34" s="10">
        <v>3</v>
      </c>
      <c r="F34" s="10">
        <v>1</v>
      </c>
      <c r="G34" s="10">
        <v>0</v>
      </c>
      <c r="H34" s="10">
        <v>1.3</v>
      </c>
      <c r="I34" s="12">
        <f>111.78/88.4</f>
        <v>1.2644796380090497</v>
      </c>
      <c r="J34" s="12">
        <f t="shared" si="0"/>
        <v>20.231674208144796</v>
      </c>
      <c r="K34" s="10">
        <v>4.5999999999999996</v>
      </c>
      <c r="L34" s="12">
        <f>((140-Questionnaire!B35)*Questionnaire!Y35)/(72*Results!I34)</f>
        <v>69.198425478618717</v>
      </c>
      <c r="M34" s="12">
        <f t="shared" si="1"/>
        <v>0.74141170155662917</v>
      </c>
      <c r="N34">
        <v>148.1</v>
      </c>
      <c r="O34">
        <v>4.84</v>
      </c>
      <c r="P34">
        <v>110.1</v>
      </c>
    </row>
    <row r="35" spans="1:16" x14ac:dyDescent="0.25">
      <c r="A35">
        <f>Questionnaire!A36</f>
        <v>34</v>
      </c>
      <c r="B35" s="10" t="s">
        <v>32</v>
      </c>
      <c r="C35" s="9">
        <v>0.04</v>
      </c>
      <c r="D35" s="21">
        <v>4</v>
      </c>
      <c r="E35" s="10">
        <v>4</v>
      </c>
      <c r="F35" s="10">
        <v>1.6</v>
      </c>
      <c r="G35" s="10">
        <v>1</v>
      </c>
      <c r="H35" s="10">
        <v>2.2000000000000002</v>
      </c>
      <c r="I35" s="12">
        <f>68.51/88.4</f>
        <v>0.77500000000000002</v>
      </c>
      <c r="J35" s="12">
        <f t="shared" si="0"/>
        <v>12.4</v>
      </c>
      <c r="K35" s="10">
        <v>4.4000000000000004</v>
      </c>
      <c r="L35" s="12">
        <f>(((140-Questionnaire!B36)*Questionnaire!Y36)/(72*Results!I35))*0.85</f>
        <v>51.106630824372758</v>
      </c>
      <c r="M35" s="12">
        <f t="shared" si="1"/>
        <v>0.32258064516129031</v>
      </c>
      <c r="N35">
        <v>137</v>
      </c>
      <c r="O35">
        <v>5.52</v>
      </c>
      <c r="P35">
        <v>104.8</v>
      </c>
    </row>
    <row r="36" spans="1:16" x14ac:dyDescent="0.25">
      <c r="A36">
        <f>Questionnaire!A37</f>
        <v>35</v>
      </c>
      <c r="B36" s="10" t="s">
        <v>32</v>
      </c>
      <c r="C36" s="9">
        <v>5.7000000000000002E-2</v>
      </c>
      <c r="D36" s="6">
        <v>19</v>
      </c>
      <c r="E36" s="10">
        <v>4</v>
      </c>
      <c r="F36" s="10">
        <v>1</v>
      </c>
      <c r="G36" s="10">
        <v>2</v>
      </c>
      <c r="H36" s="10">
        <v>1.9</v>
      </c>
      <c r="I36" s="12">
        <v>1.1000000000000001</v>
      </c>
      <c r="J36" s="12">
        <f t="shared" si="0"/>
        <v>17.600000000000001</v>
      </c>
      <c r="K36" s="10">
        <v>3.2</v>
      </c>
      <c r="L36" s="12">
        <f>(((140-Questionnaire!B37)*Questionnaire!Y37)/(72*Results!I36))*0.85</f>
        <v>97.428030303030297</v>
      </c>
      <c r="M36" s="12">
        <f t="shared" si="1"/>
        <v>1.0795454545454544</v>
      </c>
      <c r="N36">
        <v>150</v>
      </c>
      <c r="O36">
        <v>4.13</v>
      </c>
      <c r="P36">
        <v>112.3</v>
      </c>
    </row>
    <row r="37" spans="1:16" x14ac:dyDescent="0.25">
      <c r="A37">
        <f>Questionnaire!A38</f>
        <v>36</v>
      </c>
      <c r="B37" s="10" t="s">
        <v>62</v>
      </c>
      <c r="C37" s="9">
        <v>6.8000000000000005E-2</v>
      </c>
      <c r="D37" s="6">
        <v>5</v>
      </c>
      <c r="E37" s="10">
        <v>4</v>
      </c>
      <c r="F37" s="10">
        <v>1.2</v>
      </c>
      <c r="G37" s="10">
        <v>1</v>
      </c>
      <c r="H37" s="10">
        <v>3.3</v>
      </c>
      <c r="I37" s="12">
        <f>85.64/88.4</f>
        <v>0.96877828054298631</v>
      </c>
      <c r="J37" s="12">
        <f t="shared" si="0"/>
        <v>15.500452488687781</v>
      </c>
      <c r="K37" s="10">
        <v>3.6</v>
      </c>
      <c r="L37" s="12">
        <f>(((140-Questionnaire!B38)*Questionnaire!Y38)/(72*Results!I37))*0.85</f>
        <v>68.387967720172298</v>
      </c>
      <c r="M37" s="12">
        <f t="shared" si="1"/>
        <v>0.32257122839794494</v>
      </c>
      <c r="N37">
        <v>143.30000000000001</v>
      </c>
      <c r="O37">
        <v>4.21</v>
      </c>
      <c r="P37">
        <v>108.1</v>
      </c>
    </row>
    <row r="38" spans="1:16" x14ac:dyDescent="0.25">
      <c r="A38">
        <f>Questionnaire!A39</f>
        <v>37</v>
      </c>
      <c r="B38" s="10" t="s">
        <v>11</v>
      </c>
      <c r="C38" s="9">
        <v>7.4999999999999997E-2</v>
      </c>
      <c r="D38" s="6">
        <v>23</v>
      </c>
      <c r="E38" s="10">
        <v>5</v>
      </c>
      <c r="F38" s="10">
        <v>1.1000000000000001</v>
      </c>
      <c r="G38" s="10">
        <v>2</v>
      </c>
      <c r="H38" s="10">
        <v>1.7</v>
      </c>
      <c r="I38" s="12">
        <f>115.39/88.4</f>
        <v>1.305316742081448</v>
      </c>
      <c r="J38" s="12">
        <f t="shared" si="0"/>
        <v>20.885067873303168</v>
      </c>
      <c r="K38" s="10">
        <v>4.3</v>
      </c>
      <c r="L38" s="12">
        <f>((140-Questionnaire!B39)*Questionnaire!Y39)/(72*Results!I38)</f>
        <v>97.539118544838274</v>
      </c>
      <c r="M38" s="12">
        <f t="shared" si="1"/>
        <v>1.1012652742872</v>
      </c>
      <c r="N38">
        <v>150.1</v>
      </c>
      <c r="O38">
        <v>4.43</v>
      </c>
      <c r="P38">
        <v>112.4</v>
      </c>
    </row>
    <row r="39" spans="1:16" x14ac:dyDescent="0.25">
      <c r="A39">
        <f>Questionnaire!A40</f>
        <v>38</v>
      </c>
      <c r="B39" s="10" t="s">
        <v>32</v>
      </c>
      <c r="C39" s="9">
        <v>0.126</v>
      </c>
      <c r="D39" s="21">
        <v>4</v>
      </c>
      <c r="E39" s="10">
        <v>5</v>
      </c>
      <c r="F39" s="10">
        <v>1.4</v>
      </c>
      <c r="G39" s="10">
        <v>2</v>
      </c>
      <c r="H39" s="10">
        <v>1.6</v>
      </c>
      <c r="I39" s="12">
        <f>86.54/88.4</f>
        <v>0.97895927601809951</v>
      </c>
      <c r="J39" s="12">
        <f t="shared" si="0"/>
        <v>15.663348416289592</v>
      </c>
      <c r="K39" s="10">
        <v>4.7</v>
      </c>
      <c r="L39" s="12">
        <f>(((140-Questionnaire!B40)*Questionnaire!Y40)/(72*Results!I39))*0.85</f>
        <v>92.904783914952631</v>
      </c>
      <c r="M39" s="12">
        <f t="shared" si="1"/>
        <v>0.25537323780910565</v>
      </c>
      <c r="N39">
        <v>147.19999999999999</v>
      </c>
      <c r="O39">
        <v>3.74</v>
      </c>
      <c r="P39">
        <v>110.4</v>
      </c>
    </row>
    <row r="40" spans="1:16" x14ac:dyDescent="0.25">
      <c r="A40">
        <f>Questionnaire!A41</f>
        <v>39</v>
      </c>
      <c r="B40" s="10" t="s">
        <v>32</v>
      </c>
      <c r="C40" s="9">
        <v>4.1000000000000002E-2</v>
      </c>
      <c r="D40" s="6">
        <v>11</v>
      </c>
      <c r="E40" s="10">
        <v>5</v>
      </c>
      <c r="F40" s="10">
        <v>1.2</v>
      </c>
      <c r="G40" s="10">
        <v>1</v>
      </c>
      <c r="H40" s="10">
        <v>3.6</v>
      </c>
      <c r="I40" s="12">
        <f>144.23/88.4</f>
        <v>1.6315610859728504</v>
      </c>
      <c r="J40" s="12">
        <f t="shared" si="0"/>
        <v>26.104977375565607</v>
      </c>
      <c r="K40" s="10">
        <v>5.9</v>
      </c>
      <c r="L40" s="12">
        <f>(((140-Questionnaire!B41)*Questionnaire!Y41)/(72*Results!I40))*0.85</f>
        <v>48.450530402828825</v>
      </c>
      <c r="M40" s="12">
        <f t="shared" si="1"/>
        <v>0.42137558066976366</v>
      </c>
      <c r="N40">
        <v>147.19999999999999</v>
      </c>
      <c r="O40">
        <v>5.5</v>
      </c>
      <c r="P40">
        <v>110.2</v>
      </c>
    </row>
    <row r="41" spans="1:16" x14ac:dyDescent="0.25">
      <c r="A41">
        <f>Questionnaire!A42</f>
        <v>40</v>
      </c>
      <c r="B41" s="10" t="s">
        <v>11</v>
      </c>
      <c r="C41" s="9">
        <v>4.4999999999999998E-2</v>
      </c>
      <c r="D41" s="6">
        <v>18</v>
      </c>
      <c r="E41" s="10">
        <v>5</v>
      </c>
      <c r="F41" s="10">
        <v>1.2</v>
      </c>
      <c r="G41" s="10">
        <v>1</v>
      </c>
      <c r="H41" s="10">
        <v>1.9</v>
      </c>
      <c r="I41" s="12">
        <f>113.58/88.4</f>
        <v>1.2848416289592759</v>
      </c>
      <c r="J41" s="12">
        <f t="shared" si="0"/>
        <v>20.557466063348414</v>
      </c>
      <c r="K41" s="10">
        <v>6.8</v>
      </c>
      <c r="L41" s="12">
        <f>((140-Questionnaire!B42)*Questionnaire!Y42)/(72*Results!I41)</f>
        <v>80.738441822699627</v>
      </c>
      <c r="M41" s="12">
        <f t="shared" si="1"/>
        <v>0.87559429477020612</v>
      </c>
      <c r="N41">
        <v>147.9</v>
      </c>
      <c r="O41">
        <v>4.57</v>
      </c>
      <c r="P41">
        <v>111.6</v>
      </c>
    </row>
    <row r="42" spans="1:16" x14ac:dyDescent="0.25">
      <c r="A42">
        <f>Questionnaire!A43</f>
        <v>41</v>
      </c>
      <c r="B42" s="10" t="s">
        <v>32</v>
      </c>
      <c r="C42" s="9">
        <v>5.0999999999999997E-2</v>
      </c>
      <c r="D42" s="6">
        <v>15</v>
      </c>
      <c r="E42" s="10">
        <v>5</v>
      </c>
      <c r="F42" s="10">
        <v>1.1000000000000001</v>
      </c>
      <c r="G42" s="10">
        <v>3</v>
      </c>
      <c r="H42" s="10">
        <v>1.8</v>
      </c>
      <c r="I42" s="12">
        <f>113.58/88.4</f>
        <v>1.2848416289592759</v>
      </c>
      <c r="J42" s="12">
        <f t="shared" si="0"/>
        <v>20.557466063348414</v>
      </c>
      <c r="K42" s="10">
        <v>6.9</v>
      </c>
      <c r="L42" s="12">
        <f>(((140-Questionnaire!B43)*Questionnaire!Y43)/(72*Results!I42))*0.85</f>
        <v>39.877374733423338</v>
      </c>
      <c r="M42" s="12">
        <f t="shared" si="1"/>
        <v>0.72966191230850508</v>
      </c>
      <c r="N42">
        <v>147.1</v>
      </c>
      <c r="O42">
        <v>4.32</v>
      </c>
      <c r="P42">
        <v>111.2</v>
      </c>
    </row>
    <row r="43" spans="1:16" x14ac:dyDescent="0.25">
      <c r="A43">
        <f>Questionnaire!A44</f>
        <v>42</v>
      </c>
      <c r="B43" s="10" t="s">
        <v>32</v>
      </c>
      <c r="C43" s="9">
        <v>0.08</v>
      </c>
      <c r="D43" s="6">
        <v>5</v>
      </c>
      <c r="E43" s="10">
        <v>3</v>
      </c>
      <c r="F43" s="10">
        <v>1.4</v>
      </c>
      <c r="G43" s="10">
        <v>1</v>
      </c>
      <c r="H43" s="10">
        <v>1.7</v>
      </c>
      <c r="I43" s="12">
        <f>88.34/88.4</f>
        <v>0.99932126696832579</v>
      </c>
      <c r="J43" s="12">
        <f t="shared" si="0"/>
        <v>15.989140271493213</v>
      </c>
      <c r="K43" s="10">
        <v>4.5</v>
      </c>
      <c r="L43" s="12">
        <f>(((140-Questionnaire!B44)*Questionnaire!Y44)/(72*Results!I43))*0.85</f>
        <v>49.380738560611775</v>
      </c>
      <c r="M43" s="12">
        <f t="shared" si="1"/>
        <v>0.31271224813221643</v>
      </c>
      <c r="N43">
        <v>128.4</v>
      </c>
      <c r="O43">
        <v>4.07</v>
      </c>
      <c r="P43">
        <v>107.2</v>
      </c>
    </row>
    <row r="44" spans="1:16" x14ac:dyDescent="0.25">
      <c r="A44">
        <f>Questionnaire!A45</f>
        <v>43</v>
      </c>
      <c r="B44" s="10" t="s">
        <v>32</v>
      </c>
      <c r="C44" s="9">
        <v>5.1999999999999998E-2</v>
      </c>
      <c r="D44" s="21">
        <v>160</v>
      </c>
      <c r="E44" s="10">
        <v>4</v>
      </c>
      <c r="F44" s="10">
        <v>1.5</v>
      </c>
      <c r="G44" s="10">
        <v>1</v>
      </c>
      <c r="H44" s="10">
        <v>2.7</v>
      </c>
      <c r="I44" s="12">
        <f>185.7/88.4</f>
        <v>2.1006787330316739</v>
      </c>
      <c r="J44" s="12">
        <f t="shared" si="0"/>
        <v>33.610859728506782</v>
      </c>
      <c r="K44" s="10">
        <v>14.8</v>
      </c>
      <c r="L44" s="12">
        <f>(((140-Questionnaire!B45)*Questionnaire!Y45)/(72*Results!I44))*0.85</f>
        <v>31.122877400825708</v>
      </c>
      <c r="M44" s="12">
        <f t="shared" si="1"/>
        <v>4.7603661820140015</v>
      </c>
      <c r="N44">
        <v>150</v>
      </c>
      <c r="O44">
        <v>5.69</v>
      </c>
      <c r="P44">
        <v>117</v>
      </c>
    </row>
    <row r="45" spans="1:16" x14ac:dyDescent="0.25">
      <c r="A45">
        <f>Questionnaire!A46</f>
        <v>44</v>
      </c>
      <c r="B45" s="10" t="s">
        <v>32</v>
      </c>
      <c r="C45" s="9">
        <v>8.8999999999999996E-2</v>
      </c>
      <c r="D45" s="21">
        <v>160</v>
      </c>
      <c r="E45" s="10">
        <v>5</v>
      </c>
      <c r="F45" s="10">
        <v>1.7</v>
      </c>
      <c r="G45" s="10">
        <v>1</v>
      </c>
      <c r="H45" s="10">
        <v>1.8</v>
      </c>
      <c r="I45" s="12">
        <f>99.29/88.4</f>
        <v>1.1231900452488688</v>
      </c>
      <c r="J45" s="12">
        <f t="shared" si="0"/>
        <v>17.971040723981901</v>
      </c>
      <c r="K45" s="10">
        <v>7.3</v>
      </c>
      <c r="L45" s="12">
        <f>(((140-Questionnaire!B46)*Questionnaire!Y46)/(72*Results!I45))*0.85</f>
        <v>36.787580711943683</v>
      </c>
      <c r="M45" s="12">
        <f>D45/J45</f>
        <v>8.9032128109578004</v>
      </c>
      <c r="N45">
        <v>143</v>
      </c>
      <c r="O45">
        <v>4.0999999999999996</v>
      </c>
      <c r="P45">
        <v>104</v>
      </c>
    </row>
    <row r="46" spans="1:16" x14ac:dyDescent="0.25">
      <c r="A46">
        <f>Questionnaire!A47</f>
        <v>45</v>
      </c>
      <c r="B46" s="10" t="s">
        <v>11</v>
      </c>
      <c r="C46" s="9">
        <v>8.1000000000000003E-2</v>
      </c>
      <c r="D46" s="6">
        <v>71</v>
      </c>
      <c r="E46" s="10">
        <v>6</v>
      </c>
      <c r="F46" s="10">
        <v>1.2</v>
      </c>
      <c r="G46" s="10">
        <v>2</v>
      </c>
      <c r="H46" s="10">
        <v>2</v>
      </c>
      <c r="I46" s="12">
        <f>88.84/88.4</f>
        <v>1.0049773755656108</v>
      </c>
      <c r="J46" s="12">
        <f t="shared" si="0"/>
        <v>16.079638009049773</v>
      </c>
      <c r="K46" s="10">
        <v>2.6</v>
      </c>
      <c r="L46" s="12">
        <f>((140-Questionnaire!B47)*Questionnaire!Y47)/(72*Results!I46)</f>
        <v>67.220971534343889</v>
      </c>
      <c r="M46" s="12">
        <f t="shared" si="1"/>
        <v>4.4155222872579918</v>
      </c>
      <c r="N46">
        <v>145</v>
      </c>
      <c r="O46">
        <v>4.5999999999999996</v>
      </c>
      <c r="P46">
        <v>103</v>
      </c>
    </row>
    <row r="47" spans="1:16" x14ac:dyDescent="0.25">
      <c r="A47">
        <f>Questionnaire!A48</f>
        <v>46</v>
      </c>
      <c r="B47" s="10" t="s">
        <v>32</v>
      </c>
      <c r="C47" s="9">
        <v>6.6000000000000003E-2</v>
      </c>
      <c r="D47" s="6">
        <v>12</v>
      </c>
      <c r="E47" s="10">
        <v>3</v>
      </c>
      <c r="F47" s="10">
        <v>1.4</v>
      </c>
      <c r="G47" s="10">
        <v>1</v>
      </c>
      <c r="H47" s="10">
        <v>0.9</v>
      </c>
      <c r="I47" s="12">
        <f>98.54/88.4</f>
        <v>1.1147058823529412</v>
      </c>
      <c r="J47" s="12">
        <f t="shared" si="0"/>
        <v>17.835294117647059</v>
      </c>
      <c r="K47" s="10">
        <v>3.3</v>
      </c>
      <c r="L47" s="12">
        <f>(((140-Questionnaire!B48)*Questionnaire!Y48)/(72*Results!I47))*0.85</f>
        <v>75.723761360304891</v>
      </c>
      <c r="M47" s="12">
        <f t="shared" si="1"/>
        <v>0.67282321899736142</v>
      </c>
      <c r="N47">
        <v>141</v>
      </c>
      <c r="O47">
        <v>4.5999999999999996</v>
      </c>
      <c r="P47">
        <v>96</v>
      </c>
    </row>
    <row r="48" spans="1:16" x14ac:dyDescent="0.25">
      <c r="A48">
        <f>Questionnaire!A49</f>
        <v>47</v>
      </c>
      <c r="B48" s="10" t="s">
        <v>32</v>
      </c>
      <c r="C48" s="9">
        <v>6.2E-2</v>
      </c>
      <c r="D48" s="21">
        <v>160</v>
      </c>
      <c r="E48" s="10">
        <v>8</v>
      </c>
      <c r="F48" s="10">
        <v>1.6</v>
      </c>
      <c r="G48" s="10">
        <v>1</v>
      </c>
      <c r="H48" s="10">
        <v>3.5</v>
      </c>
      <c r="I48" s="12">
        <f>275.47/88.4</f>
        <v>3.1161764705882353</v>
      </c>
      <c r="J48" s="12">
        <f t="shared" si="0"/>
        <v>49.858823529411765</v>
      </c>
      <c r="K48" s="10">
        <v>23</v>
      </c>
      <c r="L48" s="12">
        <f>(((140-Questionnaire!B49)*Questionnaire!Y49)/(72*Results!I48))*0.85</f>
        <v>29.625871742436154</v>
      </c>
      <c r="M48" s="12">
        <f t="shared" si="1"/>
        <v>3.2090608777725342</v>
      </c>
      <c r="N48">
        <v>144</v>
      </c>
      <c r="O48">
        <v>4.3</v>
      </c>
      <c r="P48">
        <v>111</v>
      </c>
    </row>
    <row r="49" spans="1:16" x14ac:dyDescent="0.25">
      <c r="A49">
        <f>Questionnaire!A50</f>
        <v>48</v>
      </c>
      <c r="B49" s="10" t="s">
        <v>32</v>
      </c>
      <c r="C49" s="9">
        <v>0.12</v>
      </c>
      <c r="D49" s="21">
        <v>160</v>
      </c>
      <c r="E49" s="10">
        <v>7</v>
      </c>
      <c r="F49" s="10">
        <v>1.5</v>
      </c>
      <c r="G49" s="10">
        <v>3</v>
      </c>
      <c r="H49" s="10">
        <v>2.9</v>
      </c>
      <c r="I49" s="12">
        <f>86.6/88.4</f>
        <v>0.97963800904977361</v>
      </c>
      <c r="J49" s="12">
        <f t="shared" si="0"/>
        <v>15.674208144796378</v>
      </c>
      <c r="K49" s="10">
        <v>3.2</v>
      </c>
      <c r="L49" s="12">
        <f>(((140-Questionnaire!B50)*Questionnaire!Y50)/(72*Results!I49))*0.85</f>
        <v>65.942725173210164</v>
      </c>
      <c r="M49" s="12">
        <f t="shared" si="1"/>
        <v>10.207852193995382</v>
      </c>
      <c r="N49">
        <v>142</v>
      </c>
      <c r="O49">
        <v>3.9</v>
      </c>
      <c r="P49">
        <v>98</v>
      </c>
    </row>
    <row r="50" spans="1:16" x14ac:dyDescent="0.25">
      <c r="A50">
        <f>Questionnaire!A51</f>
        <v>49</v>
      </c>
      <c r="B50" s="10" t="s">
        <v>32</v>
      </c>
      <c r="C50" s="9">
        <v>6.6000000000000003E-2</v>
      </c>
      <c r="D50" s="6">
        <v>21</v>
      </c>
      <c r="E50" s="10">
        <v>3</v>
      </c>
      <c r="F50" s="10">
        <v>1.4</v>
      </c>
      <c r="G50" s="10">
        <v>0</v>
      </c>
      <c r="H50" s="10">
        <v>1.3</v>
      </c>
      <c r="I50" s="12">
        <f>114.97/88.4</f>
        <v>1.3005656108597283</v>
      </c>
      <c r="J50" s="12">
        <f t="shared" si="0"/>
        <v>20.809049773755653</v>
      </c>
      <c r="K50" s="10">
        <v>4.5</v>
      </c>
      <c r="L50" s="12">
        <f>(((140-Questionnaire!B51)*Questionnaire!Y51)/(72*Results!I50))*0.85</f>
        <v>47.637393329660881</v>
      </c>
      <c r="M50" s="12">
        <f t="shared" si="1"/>
        <v>1.00917630686266</v>
      </c>
      <c r="N50">
        <v>147</v>
      </c>
      <c r="O50">
        <v>3.6</v>
      </c>
      <c r="P50">
        <v>106</v>
      </c>
    </row>
    <row r="51" spans="1:16" x14ac:dyDescent="0.25">
      <c r="A51">
        <f>Questionnaire!A52</f>
        <v>50</v>
      </c>
      <c r="B51" s="10" t="s">
        <v>11</v>
      </c>
      <c r="C51" s="9">
        <v>0.04</v>
      </c>
      <c r="D51" s="6">
        <v>5</v>
      </c>
      <c r="E51" s="10">
        <v>4</v>
      </c>
      <c r="F51" s="10">
        <v>1.3</v>
      </c>
      <c r="G51" s="10">
        <v>1</v>
      </c>
      <c r="H51" s="10">
        <v>1.2</v>
      </c>
      <c r="I51" s="12">
        <f>155.95/88.4</f>
        <v>1.7641402714932124</v>
      </c>
      <c r="J51" s="12">
        <f t="shared" si="0"/>
        <v>28.226244343891398</v>
      </c>
      <c r="K51" s="10">
        <v>4.3</v>
      </c>
      <c r="L51" s="12">
        <f>((140-Questionnaire!B52)*Questionnaire!Y52)/(72*Results!I51)</f>
        <v>32.751237932385742</v>
      </c>
      <c r="M51" s="12">
        <f t="shared" si="1"/>
        <v>0.17714010900929789</v>
      </c>
      <c r="N51">
        <v>141</v>
      </c>
      <c r="O51">
        <v>4</v>
      </c>
      <c r="P51">
        <v>101</v>
      </c>
    </row>
    <row r="52" spans="1:16" x14ac:dyDescent="0.25">
      <c r="A52">
        <f>Questionnaire!A53</f>
        <v>51</v>
      </c>
      <c r="B52" s="10" t="s">
        <v>32</v>
      </c>
      <c r="C52" s="9">
        <v>9.5000000000000001E-2</v>
      </c>
      <c r="D52" s="6">
        <v>5</v>
      </c>
      <c r="E52" s="10">
        <v>7</v>
      </c>
      <c r="F52" s="10">
        <v>1.7</v>
      </c>
      <c r="G52" s="10">
        <v>4</v>
      </c>
      <c r="H52" s="10">
        <v>3.2</v>
      </c>
      <c r="I52" s="12">
        <f>84.36/88.4</f>
        <v>0.95429864253393659</v>
      </c>
      <c r="J52" s="12">
        <f t="shared" si="0"/>
        <v>15.268778280542985</v>
      </c>
      <c r="K52" s="10">
        <v>3.2</v>
      </c>
      <c r="L52" s="12">
        <f>(((140-Questionnaire!B53)*Questionnaire!Y53)/(72*Results!I52))*0.85</f>
        <v>70.51426426426427</v>
      </c>
      <c r="M52" s="12">
        <f t="shared" si="1"/>
        <v>0.32746562351825514</v>
      </c>
      <c r="N52">
        <v>141</v>
      </c>
      <c r="O52">
        <v>3.8</v>
      </c>
      <c r="P52">
        <v>99</v>
      </c>
    </row>
    <row r="53" spans="1:16" x14ac:dyDescent="0.25">
      <c r="A53">
        <f>Questionnaire!A54</f>
        <v>52</v>
      </c>
      <c r="B53" s="10" t="s">
        <v>32</v>
      </c>
      <c r="C53" s="9">
        <v>5.1999999999999998E-2</v>
      </c>
      <c r="D53" s="6">
        <v>110</v>
      </c>
      <c r="E53" s="10">
        <v>4</v>
      </c>
      <c r="F53" s="10">
        <v>1.5</v>
      </c>
      <c r="G53" s="10">
        <v>1</v>
      </c>
      <c r="H53" s="10">
        <v>1.9</v>
      </c>
      <c r="I53" s="12">
        <f>61.96/88.4</f>
        <v>0.70090497737556556</v>
      </c>
      <c r="J53" s="12">
        <f t="shared" si="0"/>
        <v>11.214479638009049</v>
      </c>
      <c r="K53" s="10">
        <v>5</v>
      </c>
      <c r="L53" s="12">
        <f>(((140-Questionnaire!B54)*Questionnaire!Y54)/(72*Results!I53))*0.85</f>
        <v>40.37339950505703</v>
      </c>
      <c r="M53" s="12">
        <f t="shared" si="1"/>
        <v>9.8087475790832794</v>
      </c>
      <c r="N53">
        <v>137</v>
      </c>
      <c r="O53">
        <v>4</v>
      </c>
      <c r="P53">
        <v>96</v>
      </c>
    </row>
    <row r="54" spans="1:16" x14ac:dyDescent="0.25">
      <c r="A54">
        <f>Questionnaire!A55</f>
        <v>53</v>
      </c>
      <c r="B54" s="10" t="s">
        <v>32</v>
      </c>
      <c r="C54" s="9">
        <v>8.6999999999999994E-2</v>
      </c>
      <c r="D54" s="21">
        <v>4</v>
      </c>
      <c r="E54" s="10">
        <v>5</v>
      </c>
      <c r="F54" s="10">
        <v>2.1</v>
      </c>
      <c r="G54" s="10">
        <v>1</v>
      </c>
      <c r="H54" s="10">
        <v>2.5</v>
      </c>
      <c r="I54" s="12">
        <f>81.37/88.4</f>
        <v>0.9204751131221719</v>
      </c>
      <c r="J54" s="12">
        <f t="shared" si="0"/>
        <v>14.72760180995475</v>
      </c>
      <c r="K54" s="10">
        <v>4.5999999999999996</v>
      </c>
      <c r="L54" s="12">
        <f>(((140-Questionnaire!B55)*Questionnaire!Y55)/(72*Results!I54))*0.85</f>
        <v>70.591563912443846</v>
      </c>
      <c r="M54" s="12">
        <f t="shared" si="1"/>
        <v>0.27159886936217281</v>
      </c>
      <c r="N54">
        <v>146</v>
      </c>
      <c r="O54">
        <v>3.4</v>
      </c>
      <c r="P54">
        <v>105</v>
      </c>
    </row>
    <row r="55" spans="1:16" x14ac:dyDescent="0.25">
      <c r="A55">
        <f>Questionnaire!A56</f>
        <v>54</v>
      </c>
      <c r="B55" s="10" t="s">
        <v>11</v>
      </c>
      <c r="C55" s="9">
        <v>7.5999999999999998E-2</v>
      </c>
      <c r="D55" s="6">
        <v>22</v>
      </c>
      <c r="E55" s="10">
        <v>6</v>
      </c>
      <c r="F55" s="10">
        <v>1.1000000000000001</v>
      </c>
      <c r="G55" s="10">
        <v>2</v>
      </c>
      <c r="H55" s="10">
        <v>2.4</v>
      </c>
      <c r="I55" s="12">
        <f>170.95/88.4</f>
        <v>1.9338235294117645</v>
      </c>
      <c r="J55" s="12">
        <f t="shared" si="0"/>
        <v>30.941176470588232</v>
      </c>
      <c r="K55" s="10">
        <v>12.9</v>
      </c>
      <c r="L55" s="12">
        <f>((140-Questionnaire!B56)*Questionnaire!Y56)/(72*Results!I55)</f>
        <v>47.861427967891849</v>
      </c>
      <c r="M55" s="12">
        <f t="shared" si="1"/>
        <v>0.71102661596958183</v>
      </c>
      <c r="N55">
        <v>142</v>
      </c>
      <c r="O55">
        <v>5.4</v>
      </c>
      <c r="P55">
        <v>106</v>
      </c>
    </row>
    <row r="56" spans="1:16" x14ac:dyDescent="0.25">
      <c r="A56">
        <f>Questionnaire!A57</f>
        <v>55</v>
      </c>
      <c r="B56" s="10" t="s">
        <v>32</v>
      </c>
      <c r="C56" s="9">
        <v>7.0999999999999994E-2</v>
      </c>
      <c r="D56" s="6">
        <v>7</v>
      </c>
      <c r="E56" s="10">
        <v>4</v>
      </c>
      <c r="F56" s="10">
        <v>1.6</v>
      </c>
      <c r="G56" s="10">
        <v>1</v>
      </c>
      <c r="H56" s="10">
        <v>3</v>
      </c>
      <c r="I56" s="12">
        <f>76.89/88.4</f>
        <v>0.86979638009049765</v>
      </c>
      <c r="J56" s="12">
        <f t="shared" si="0"/>
        <v>13.916742081447962</v>
      </c>
      <c r="K56" s="10">
        <v>4.8</v>
      </c>
      <c r="L56" s="12">
        <f>(((140-Questionnaire!B57)*Questionnaire!Y57)/(72*Results!I56))*0.85</f>
        <v>65.149347552781038</v>
      </c>
      <c r="M56" s="12">
        <f t="shared" si="1"/>
        <v>0.50299128625308887</v>
      </c>
      <c r="N56">
        <v>145</v>
      </c>
      <c r="O56">
        <v>3.8</v>
      </c>
      <c r="P56">
        <v>105</v>
      </c>
    </row>
    <row r="57" spans="1:16" x14ac:dyDescent="0.25">
      <c r="A57">
        <f>Questionnaire!A58</f>
        <v>56</v>
      </c>
      <c r="B57" s="10" t="s">
        <v>32</v>
      </c>
      <c r="C57" s="9">
        <v>0.123</v>
      </c>
      <c r="D57" s="6">
        <v>7</v>
      </c>
      <c r="E57" s="10">
        <v>6</v>
      </c>
      <c r="F57" s="10">
        <v>1.7</v>
      </c>
      <c r="G57" s="10">
        <v>1</v>
      </c>
      <c r="H57" s="10">
        <v>2.8</v>
      </c>
      <c r="I57" s="12">
        <f>98.54/88.4</f>
        <v>1.1147058823529412</v>
      </c>
      <c r="J57" s="12">
        <f t="shared" si="0"/>
        <v>17.835294117647059</v>
      </c>
      <c r="K57" s="10">
        <v>6.7</v>
      </c>
      <c r="L57" s="12">
        <f>(((140-Questionnaire!B58)*Questionnaire!Y58)/(72*Results!I57))*0.85</f>
        <v>57.78305482263265</v>
      </c>
      <c r="M57" s="12">
        <f t="shared" si="1"/>
        <v>0.39248021108179421</v>
      </c>
      <c r="N57">
        <v>149</v>
      </c>
      <c r="O57">
        <v>4.5</v>
      </c>
      <c r="P57">
        <v>105</v>
      </c>
    </row>
    <row r="58" spans="1:16" x14ac:dyDescent="0.25">
      <c r="A58">
        <f>Questionnaire!A59</f>
        <v>57</v>
      </c>
      <c r="B58" s="10" t="s">
        <v>32</v>
      </c>
      <c r="C58" s="9">
        <v>5.8999999999999997E-2</v>
      </c>
      <c r="D58" s="6">
        <v>8</v>
      </c>
      <c r="E58" s="10">
        <v>4</v>
      </c>
      <c r="F58" s="10">
        <v>1.8</v>
      </c>
      <c r="G58" s="10">
        <v>0</v>
      </c>
      <c r="H58" s="10">
        <v>1.5</v>
      </c>
      <c r="I58" s="12">
        <f>109.74/88.4</f>
        <v>1.2414027149321265</v>
      </c>
      <c r="J58" s="12">
        <f t="shared" si="0"/>
        <v>19.862443438914024</v>
      </c>
      <c r="K58" s="10">
        <v>5.2</v>
      </c>
      <c r="L58" s="12">
        <f>(((140-Questionnaire!B59)*Questionnaire!Y59)/(72*Results!I58))*0.85</f>
        <v>24.231101796164673</v>
      </c>
      <c r="M58" s="12">
        <f t="shared" si="1"/>
        <v>0.40277018407144166</v>
      </c>
      <c r="N58">
        <v>145</v>
      </c>
      <c r="O58">
        <v>3.9</v>
      </c>
      <c r="P58">
        <v>105</v>
      </c>
    </row>
    <row r="59" spans="1:16" x14ac:dyDescent="0.25">
      <c r="A59">
        <f>Questionnaire!A60</f>
        <v>58</v>
      </c>
      <c r="B59" s="10" t="s">
        <v>32</v>
      </c>
      <c r="C59" s="9">
        <v>7.1999999999999995E-2</v>
      </c>
      <c r="D59" s="6">
        <v>13</v>
      </c>
      <c r="E59" s="10">
        <v>5</v>
      </c>
      <c r="F59" s="10">
        <v>1.6</v>
      </c>
      <c r="G59" s="10">
        <v>1</v>
      </c>
      <c r="H59" s="10">
        <v>1.6</v>
      </c>
      <c r="I59" s="12">
        <f>93.32/88.4</f>
        <v>1.0556561085972849</v>
      </c>
      <c r="J59" s="12">
        <f t="shared" si="0"/>
        <v>16.890497737556558</v>
      </c>
      <c r="K59" s="10">
        <v>3.1</v>
      </c>
      <c r="L59" s="12">
        <f>(((140-Questionnaire!B60)*Questionnaire!Y60)/(72*Results!I59))*0.85</f>
        <v>71.527396770967286</v>
      </c>
      <c r="M59" s="12">
        <f t="shared" si="1"/>
        <v>0.76966352336048016</v>
      </c>
      <c r="N59">
        <v>143</v>
      </c>
      <c r="O59">
        <v>4.0999999999999996</v>
      </c>
      <c r="P59">
        <v>101</v>
      </c>
    </row>
    <row r="60" spans="1:16" x14ac:dyDescent="0.25">
      <c r="A60">
        <f>Questionnaire!A61</f>
        <v>59</v>
      </c>
      <c r="B60" s="10" t="s">
        <v>32</v>
      </c>
      <c r="C60" s="9">
        <v>9.0999999999999998E-2</v>
      </c>
      <c r="D60" s="6">
        <v>13</v>
      </c>
      <c r="E60" s="10">
        <v>6</v>
      </c>
      <c r="F60" s="10">
        <v>1.6</v>
      </c>
      <c r="G60" s="10">
        <v>1</v>
      </c>
      <c r="H60" s="10">
        <v>2.6</v>
      </c>
      <c r="I60" s="12">
        <f>68.68/88.4</f>
        <v>0.77692307692307694</v>
      </c>
      <c r="J60" s="12">
        <f t="shared" si="0"/>
        <v>12.430769230769231</v>
      </c>
      <c r="K60" s="10">
        <v>3.1</v>
      </c>
      <c r="L60" s="12">
        <f>(((140-Questionnaire!B61)*Questionnaire!Y61)/(72*Results!I60))*0.85</f>
        <v>64.959777227722768</v>
      </c>
      <c r="M60" s="12">
        <f t="shared" si="1"/>
        <v>1.0457920792079207</v>
      </c>
      <c r="N60">
        <v>145</v>
      </c>
      <c r="O60">
        <v>4.4000000000000004</v>
      </c>
      <c r="P60">
        <v>106</v>
      </c>
    </row>
    <row r="61" spans="1:16" x14ac:dyDescent="0.25">
      <c r="A61">
        <f>Questionnaire!A62</f>
        <v>60</v>
      </c>
      <c r="B61" s="10" t="s">
        <v>11</v>
      </c>
      <c r="C61" s="9">
        <v>6.8000000000000005E-2</v>
      </c>
      <c r="D61" s="6">
        <v>7</v>
      </c>
      <c r="E61" s="10">
        <v>5</v>
      </c>
      <c r="F61" s="10">
        <v>1.2</v>
      </c>
      <c r="G61" s="10">
        <v>2</v>
      </c>
      <c r="H61" s="10">
        <v>1.9</v>
      </c>
      <c r="I61" s="12">
        <f>117.2/88.4</f>
        <v>1.3257918552036199</v>
      </c>
      <c r="J61" s="12">
        <f t="shared" si="0"/>
        <v>21.212669683257918</v>
      </c>
      <c r="K61" s="10">
        <v>7.8</v>
      </c>
      <c r="L61" s="12">
        <f>((140-Questionnaire!B62)*Questionnaire!Y62)/(72*Results!I61)</f>
        <v>42.113196814562002</v>
      </c>
      <c r="M61" s="12">
        <f t="shared" si="1"/>
        <v>0.32999146757679182</v>
      </c>
      <c r="N61">
        <v>145</v>
      </c>
      <c r="O61">
        <v>4.2</v>
      </c>
      <c r="P61">
        <v>102</v>
      </c>
    </row>
    <row r="62" spans="1:16" x14ac:dyDescent="0.25">
      <c r="A62">
        <f>Questionnaire!A63</f>
        <v>61</v>
      </c>
      <c r="B62" s="10" t="s">
        <v>32</v>
      </c>
      <c r="C62" s="9">
        <v>4.8000000000000001E-2</v>
      </c>
      <c r="D62" s="6">
        <v>7</v>
      </c>
      <c r="E62" s="10">
        <v>5.5</v>
      </c>
      <c r="F62" s="10">
        <v>1.1000000000000001</v>
      </c>
      <c r="G62" s="10">
        <v>1</v>
      </c>
      <c r="H62" s="10">
        <v>2.2000000000000002</v>
      </c>
      <c r="I62" s="12">
        <v>1.1000000000000001</v>
      </c>
      <c r="J62" s="12">
        <f t="shared" si="0"/>
        <v>17.600000000000001</v>
      </c>
      <c r="K62" s="10">
        <v>6.6</v>
      </c>
      <c r="L62" s="12">
        <f>(((140-Questionnaire!B63)*Questionnaire!Y63)/(72*Results!I62))*0.85</f>
        <v>69.722537878787875</v>
      </c>
      <c r="M62" s="12">
        <f t="shared" si="1"/>
        <v>0.39772727272727271</v>
      </c>
      <c r="N62">
        <v>144</v>
      </c>
      <c r="O62">
        <v>4.0999999999999996</v>
      </c>
      <c r="P62">
        <v>105</v>
      </c>
    </row>
    <row r="63" spans="1:16" x14ac:dyDescent="0.25">
      <c r="A63">
        <f>Questionnaire!A64</f>
        <v>62</v>
      </c>
      <c r="B63" s="10" t="s">
        <v>11</v>
      </c>
      <c r="C63" s="9">
        <v>9.6000000000000002E-2</v>
      </c>
      <c r="D63" s="6">
        <v>109</v>
      </c>
      <c r="E63" s="10">
        <v>4</v>
      </c>
      <c r="F63" s="10">
        <v>1.6</v>
      </c>
      <c r="G63" s="10">
        <v>1</v>
      </c>
      <c r="H63" s="10">
        <v>2.5</v>
      </c>
      <c r="I63" s="12">
        <f>87.34/88.4</f>
        <v>0.98800904977375559</v>
      </c>
      <c r="J63" s="12">
        <f t="shared" si="0"/>
        <v>15.808144796380089</v>
      </c>
      <c r="K63" s="10">
        <v>4.2</v>
      </c>
      <c r="L63" s="12">
        <f>((140-Questionnaire!B64)*Questionnaire!Y64)/(72*Results!I63)</f>
        <v>63.961402437472969</v>
      </c>
      <c r="M63" s="12">
        <f t="shared" si="1"/>
        <v>6.8951797572704381</v>
      </c>
      <c r="N63">
        <v>137</v>
      </c>
      <c r="O63">
        <v>4</v>
      </c>
      <c r="P63">
        <v>102</v>
      </c>
    </row>
    <row r="64" spans="1:16" x14ac:dyDescent="0.25">
      <c r="A64">
        <f>Questionnaire!A65</f>
        <v>63</v>
      </c>
      <c r="B64" s="10" t="s">
        <v>32</v>
      </c>
      <c r="C64" s="9">
        <v>6.8000000000000005E-2</v>
      </c>
      <c r="D64" s="6">
        <v>8</v>
      </c>
      <c r="E64" s="10">
        <v>6</v>
      </c>
      <c r="F64" s="10">
        <v>2.1</v>
      </c>
      <c r="G64" s="10">
        <v>1</v>
      </c>
      <c r="H64" s="10">
        <v>3</v>
      </c>
      <c r="I64" s="12">
        <f>79.88/88.4</f>
        <v>0.90361990950226234</v>
      </c>
      <c r="J64" s="12">
        <f t="shared" si="0"/>
        <v>14.457918552036197</v>
      </c>
      <c r="K64" s="10">
        <v>2.8</v>
      </c>
      <c r="L64" s="12">
        <f>(((140-Questionnaire!B65)*Questionnaire!Y65)/(72*Results!I64))*0.85</f>
        <v>83.614310354420525</v>
      </c>
      <c r="M64" s="12">
        <f t="shared" si="1"/>
        <v>0.55332999499248881</v>
      </c>
      <c r="N64">
        <v>144</v>
      </c>
      <c r="O64">
        <v>3.2</v>
      </c>
      <c r="P64">
        <v>100</v>
      </c>
    </row>
    <row r="65" spans="1:16" x14ac:dyDescent="0.25">
      <c r="A65">
        <f>Questionnaire!A66</f>
        <v>64</v>
      </c>
      <c r="B65" s="10" t="s">
        <v>11</v>
      </c>
      <c r="C65" s="9">
        <v>7.0000000000000007E-2</v>
      </c>
      <c r="D65" s="6">
        <v>64</v>
      </c>
      <c r="E65" s="10">
        <v>3</v>
      </c>
      <c r="F65" s="10">
        <v>1.1000000000000001</v>
      </c>
      <c r="G65" s="10">
        <v>1</v>
      </c>
      <c r="H65" s="10">
        <v>0.8</v>
      </c>
      <c r="I65" s="12">
        <f>118.7/88.4</f>
        <v>1.342760180995475</v>
      </c>
      <c r="J65" s="12">
        <f t="shared" si="0"/>
        <v>21.4841628959276</v>
      </c>
      <c r="K65" s="10">
        <v>3.6</v>
      </c>
      <c r="L65" s="12">
        <f>((140-Questionnaire!B66)*Questionnaire!Y66)/(72*Results!I65)</f>
        <v>50.424740241505198</v>
      </c>
      <c r="M65" s="12">
        <f t="shared" si="1"/>
        <v>2.9789385004212301</v>
      </c>
      <c r="N65">
        <v>138</v>
      </c>
      <c r="O65">
        <v>3.6</v>
      </c>
      <c r="P65">
        <v>99</v>
      </c>
    </row>
    <row r="66" spans="1:16" x14ac:dyDescent="0.25">
      <c r="A66">
        <f>Questionnaire!A67</f>
        <v>65</v>
      </c>
      <c r="B66" s="10" t="s">
        <v>32</v>
      </c>
      <c r="C66" s="9">
        <v>7.6999999999999999E-2</v>
      </c>
      <c r="D66" s="6">
        <v>10</v>
      </c>
      <c r="E66" s="10">
        <v>5</v>
      </c>
      <c r="F66" s="10">
        <v>1.4</v>
      </c>
      <c r="G66" s="10">
        <v>2</v>
      </c>
      <c r="H66" s="10">
        <v>1.9</v>
      </c>
      <c r="I66" s="12">
        <f>145.54/88.4</f>
        <v>1.6463800904977373</v>
      </c>
      <c r="J66" s="12">
        <f t="shared" si="0"/>
        <v>26.342081447963796</v>
      </c>
      <c r="K66" s="10">
        <v>3.7</v>
      </c>
      <c r="L66" s="12">
        <f>(((140-Questionnaire!B67)*Questionnaire!Y67)/(72*Results!I66))*0.85</f>
        <v>50.681897302001744</v>
      </c>
      <c r="M66" s="12">
        <f t="shared" si="1"/>
        <v>0.37962072282534021</v>
      </c>
      <c r="N66">
        <v>146</v>
      </c>
      <c r="O66">
        <v>5.0999999999999996</v>
      </c>
      <c r="P66">
        <v>115</v>
      </c>
    </row>
    <row r="67" spans="1:16" x14ac:dyDescent="0.25">
      <c r="A67">
        <f>Questionnaire!A68</f>
        <v>66</v>
      </c>
      <c r="B67" s="10" t="s">
        <v>32</v>
      </c>
      <c r="C67" s="9">
        <v>7.1999999999999995E-2</v>
      </c>
      <c r="D67" s="6">
        <v>9</v>
      </c>
      <c r="E67" s="10">
        <v>6</v>
      </c>
      <c r="F67" s="10">
        <v>1.3</v>
      </c>
      <c r="G67" s="10">
        <v>3</v>
      </c>
      <c r="H67" s="10">
        <v>2.8</v>
      </c>
      <c r="I67" s="12">
        <f>87.34/88.4</f>
        <v>0.98800904977375559</v>
      </c>
      <c r="J67" s="12">
        <f t="shared" ref="J67:J130" si="2">I67*16</f>
        <v>15.808144796380089</v>
      </c>
      <c r="K67" s="10">
        <v>2.9</v>
      </c>
      <c r="L67" s="12">
        <f>(((140-Questionnaire!B68)*Questionnaire!Y68)/(72*Results!I67))*0.85</f>
        <v>57.35440042744829</v>
      </c>
      <c r="M67" s="12">
        <f t="shared" ref="M67:M130" si="3">D67/J67</f>
        <v>0.56932676894893519</v>
      </c>
      <c r="N67">
        <v>145</v>
      </c>
      <c r="O67">
        <v>4.7</v>
      </c>
      <c r="P67">
        <v>107</v>
      </c>
    </row>
    <row r="68" spans="1:16" x14ac:dyDescent="0.25">
      <c r="A68">
        <f>Questionnaire!A69</f>
        <v>67</v>
      </c>
      <c r="B68" s="10" t="s">
        <v>32</v>
      </c>
      <c r="C68" s="9">
        <v>0.10299999999999999</v>
      </c>
      <c r="D68" s="6">
        <v>14</v>
      </c>
      <c r="E68" s="10">
        <v>4</v>
      </c>
      <c r="F68" s="10">
        <v>1.6</v>
      </c>
      <c r="G68" s="10">
        <v>1</v>
      </c>
      <c r="H68" s="10">
        <v>2.2999999999999998</v>
      </c>
      <c r="I68" s="12">
        <f>76.89/88.4</f>
        <v>0.86979638009049765</v>
      </c>
      <c r="J68" s="12">
        <f t="shared" si="2"/>
        <v>13.916742081447962</v>
      </c>
      <c r="K68" s="10">
        <v>4</v>
      </c>
      <c r="L68" s="12">
        <f>(((140-Questionnaire!B69)*Questionnaire!Y69)/(72*Results!I68))*0.85</f>
        <v>45.197359864741841</v>
      </c>
      <c r="M68" s="12">
        <f t="shared" si="3"/>
        <v>1.0059825725061777</v>
      </c>
      <c r="N68">
        <v>139</v>
      </c>
      <c r="O68">
        <v>4.0999999999999996</v>
      </c>
      <c r="P68">
        <v>100</v>
      </c>
    </row>
    <row r="69" spans="1:16" x14ac:dyDescent="0.25">
      <c r="A69">
        <f>Questionnaire!A70</f>
        <v>68</v>
      </c>
      <c r="B69" s="10" t="s">
        <v>32</v>
      </c>
      <c r="C69" s="9">
        <v>6.2E-2</v>
      </c>
      <c r="D69" s="6">
        <v>67</v>
      </c>
      <c r="E69" s="10">
        <v>4</v>
      </c>
      <c r="F69" s="10">
        <v>1.5</v>
      </c>
      <c r="G69" s="10">
        <v>1</v>
      </c>
      <c r="H69" s="10">
        <v>1.4</v>
      </c>
      <c r="I69" s="12">
        <f>98.54/88.4</f>
        <v>1.1147058823529412</v>
      </c>
      <c r="J69" s="12">
        <f t="shared" si="2"/>
        <v>17.835294117647059</v>
      </c>
      <c r="K69" s="10">
        <v>4.7</v>
      </c>
      <c r="L69" s="12">
        <f>(((140-Questionnaire!B70)*Questionnaire!Y70)/(72*Results!I69))*0.85</f>
        <v>65.048299618880094</v>
      </c>
      <c r="M69" s="12">
        <f t="shared" si="3"/>
        <v>3.7565963060686016</v>
      </c>
      <c r="N69">
        <v>143</v>
      </c>
      <c r="O69">
        <v>4.0999999999999996</v>
      </c>
      <c r="P69">
        <v>109</v>
      </c>
    </row>
    <row r="70" spans="1:16" x14ac:dyDescent="0.25">
      <c r="A70">
        <f>Questionnaire!A71</f>
        <v>69</v>
      </c>
      <c r="B70" s="10" t="s">
        <v>11</v>
      </c>
      <c r="C70" s="9">
        <v>5.8000000000000003E-2</v>
      </c>
      <c r="D70" s="6">
        <v>46</v>
      </c>
      <c r="E70" s="10">
        <v>5</v>
      </c>
      <c r="F70" s="10">
        <v>1.8</v>
      </c>
      <c r="G70" s="10">
        <v>2</v>
      </c>
      <c r="H70" s="10">
        <v>1.6</v>
      </c>
      <c r="I70" s="12">
        <f>96.3/88.4</f>
        <v>1.089366515837104</v>
      </c>
      <c r="J70" s="12">
        <f t="shared" si="2"/>
        <v>17.429864253393664</v>
      </c>
      <c r="K70" s="10">
        <v>5.9</v>
      </c>
      <c r="L70" s="12">
        <f>((140-Questionnaire!B71)*Questionnaire!Y71)/(72*Results!I70)</f>
        <v>54.504153686396677</v>
      </c>
      <c r="M70" s="12">
        <f t="shared" si="3"/>
        <v>2.6391484942886816</v>
      </c>
      <c r="N70">
        <v>145</v>
      </c>
      <c r="O70">
        <v>4.5</v>
      </c>
      <c r="P70">
        <v>112</v>
      </c>
    </row>
    <row r="71" spans="1:16" x14ac:dyDescent="0.25">
      <c r="A71">
        <f>Questionnaire!A72</f>
        <v>70</v>
      </c>
      <c r="B71" s="10" t="s">
        <v>11</v>
      </c>
      <c r="C71" s="9">
        <v>5.8999999999999997E-2</v>
      </c>
      <c r="D71" s="6">
        <v>12</v>
      </c>
      <c r="E71" s="10">
        <v>6</v>
      </c>
      <c r="F71" s="10">
        <v>1.1000000000000001</v>
      </c>
      <c r="G71" s="10">
        <v>4</v>
      </c>
      <c r="H71" s="10">
        <v>2</v>
      </c>
      <c r="I71" s="12">
        <f>76.67/88.4</f>
        <v>0.86730769230769222</v>
      </c>
      <c r="J71" s="12">
        <f t="shared" si="2"/>
        <v>13.876923076923076</v>
      </c>
      <c r="K71" s="10">
        <v>4.0999999999999996</v>
      </c>
      <c r="L71" s="12">
        <f>((140-Questionnaire!B72)*Questionnaire!Y72)/(72*Results!I71)</f>
        <v>82.951465878295153</v>
      </c>
      <c r="M71" s="12">
        <f t="shared" si="3"/>
        <v>0.86474501108647461</v>
      </c>
      <c r="N71">
        <v>143</v>
      </c>
      <c r="O71">
        <v>4.2</v>
      </c>
      <c r="P71">
        <v>106</v>
      </c>
    </row>
    <row r="72" spans="1:16" x14ac:dyDescent="0.25">
      <c r="A72">
        <f>Questionnaire!A73</f>
        <v>71</v>
      </c>
      <c r="B72" s="55" t="s">
        <v>32</v>
      </c>
      <c r="C72" s="9">
        <v>6.2E-2</v>
      </c>
      <c r="D72" s="6">
        <v>48</v>
      </c>
      <c r="E72" s="10">
        <v>5.5</v>
      </c>
      <c r="F72" s="10">
        <v>1.3</v>
      </c>
      <c r="G72" s="10">
        <v>1.2</v>
      </c>
      <c r="H72" s="10">
        <v>2.5</v>
      </c>
      <c r="I72" s="12">
        <f>112/88.4</f>
        <v>1.2669683257918551</v>
      </c>
      <c r="J72" s="12">
        <f t="shared" si="2"/>
        <v>20.271493212669682</v>
      </c>
      <c r="K72" s="10">
        <v>5.8</v>
      </c>
      <c r="L72" s="12">
        <f>(((140-Questionnaire!B73)*Questionnaire!Y73)/(72*Results!I72))*0.85</f>
        <v>43.719851190476192</v>
      </c>
      <c r="M72" s="12">
        <f t="shared" si="3"/>
        <v>2.3678571428571429</v>
      </c>
      <c r="N72">
        <v>140</v>
      </c>
      <c r="O72">
        <v>4.5</v>
      </c>
      <c r="P72">
        <v>101</v>
      </c>
    </row>
    <row r="73" spans="1:16" x14ac:dyDescent="0.25">
      <c r="A73">
        <f>Questionnaire!A74</f>
        <v>72</v>
      </c>
      <c r="B73" s="10" t="s">
        <v>32</v>
      </c>
      <c r="C73" s="9">
        <v>4.5999999999999999E-2</v>
      </c>
      <c r="D73" s="6">
        <v>11</v>
      </c>
      <c r="E73" s="10">
        <v>7</v>
      </c>
      <c r="F73" s="10">
        <v>1.6</v>
      </c>
      <c r="G73" s="10">
        <v>2</v>
      </c>
      <c r="H73" s="10">
        <v>3.3</v>
      </c>
      <c r="I73" s="12">
        <f>80.63/88.4</f>
        <v>0.91210407239818991</v>
      </c>
      <c r="J73" s="12">
        <f t="shared" si="2"/>
        <v>14.593665158371039</v>
      </c>
      <c r="K73" s="10">
        <v>3.5</v>
      </c>
      <c r="L73" s="12">
        <f>(((140-Questionnaire!B74)*Questionnaire!Y74)/(72*Results!I73))*0.85</f>
        <v>66.981117450080617</v>
      </c>
      <c r="M73" s="12">
        <f t="shared" si="3"/>
        <v>0.75375170532060043</v>
      </c>
      <c r="N73">
        <v>145</v>
      </c>
      <c r="O73">
        <v>4.0999999999999996</v>
      </c>
      <c r="P73">
        <v>105</v>
      </c>
    </row>
    <row r="74" spans="1:16" x14ac:dyDescent="0.25">
      <c r="A74">
        <f>Questionnaire!A75</f>
        <v>73</v>
      </c>
      <c r="B74" s="10" t="s">
        <v>11</v>
      </c>
      <c r="C74" s="9">
        <v>9.1999999999999998E-2</v>
      </c>
      <c r="D74" s="6">
        <v>33</v>
      </c>
      <c r="E74" s="10">
        <v>4</v>
      </c>
      <c r="F74" s="10">
        <v>0.9</v>
      </c>
      <c r="G74" s="10">
        <v>1</v>
      </c>
      <c r="H74" s="10">
        <v>1.6</v>
      </c>
      <c r="I74" s="12">
        <f>130.64/88.4</f>
        <v>1.4778280542986424</v>
      </c>
      <c r="J74" s="12">
        <f t="shared" si="2"/>
        <v>23.645248868778278</v>
      </c>
      <c r="K74" s="10">
        <v>7.3</v>
      </c>
      <c r="L74" s="12">
        <f>((140-Questionnaire!B75)*Questionnaire!Y75)/(72*Results!I74)</f>
        <v>52.141083214261421</v>
      </c>
      <c r="M74" s="12">
        <f t="shared" si="3"/>
        <v>1.395629210042866</v>
      </c>
      <c r="N74">
        <v>137</v>
      </c>
      <c r="O74">
        <v>4.9000000000000004</v>
      </c>
      <c r="P74">
        <v>109</v>
      </c>
    </row>
    <row r="75" spans="1:16" x14ac:dyDescent="0.25">
      <c r="A75">
        <f>Questionnaire!A76</f>
        <v>74</v>
      </c>
      <c r="B75" s="10" t="s">
        <v>32</v>
      </c>
      <c r="C75" s="9" t="s">
        <v>113</v>
      </c>
      <c r="D75" s="6">
        <v>6</v>
      </c>
      <c r="E75" s="10">
        <v>6</v>
      </c>
      <c r="F75" s="10">
        <v>1.7</v>
      </c>
      <c r="G75" s="10">
        <v>2</v>
      </c>
      <c r="H75" s="10">
        <v>2.9</v>
      </c>
      <c r="I75" s="12">
        <f>73.91/88.4</f>
        <v>0.83608597285067865</v>
      </c>
      <c r="J75" s="12">
        <f t="shared" si="2"/>
        <v>13.377375565610858</v>
      </c>
      <c r="K75" s="10">
        <v>3.7</v>
      </c>
      <c r="L75" s="12">
        <f>(((140-Questionnaire!B76)*Questionnaire!Y76)/(72*Results!I75))*0.85</f>
        <v>69.89412799350562</v>
      </c>
      <c r="M75" s="12">
        <f t="shared" si="3"/>
        <v>0.44851846840752269</v>
      </c>
      <c r="N75">
        <v>139</v>
      </c>
      <c r="O75">
        <v>4.2</v>
      </c>
      <c r="P75">
        <v>102</v>
      </c>
    </row>
    <row r="76" spans="1:16" x14ac:dyDescent="0.25">
      <c r="A76">
        <f>Questionnaire!A77</f>
        <v>75</v>
      </c>
      <c r="B76" s="10" t="s">
        <v>11</v>
      </c>
      <c r="C76" s="9">
        <v>7.1999999999999995E-2</v>
      </c>
      <c r="D76" s="6">
        <v>61</v>
      </c>
      <c r="E76" s="10">
        <v>3</v>
      </c>
      <c r="F76" s="10">
        <v>1.2</v>
      </c>
      <c r="G76" s="10">
        <v>1</v>
      </c>
      <c r="H76" s="10">
        <v>0.7</v>
      </c>
      <c r="I76" s="12">
        <f>59.72/88.4</f>
        <v>0.67556561085972844</v>
      </c>
      <c r="J76" s="12">
        <f t="shared" si="2"/>
        <v>10.809049773755655</v>
      </c>
      <c r="K76" s="10">
        <v>3.7</v>
      </c>
      <c r="L76" s="12">
        <f>((140-Questionnaire!B77)*Questionnaire!Y77)/(72*Results!I76)</f>
        <v>69.036801369353284</v>
      </c>
      <c r="M76" s="12">
        <f t="shared" si="3"/>
        <v>5.6434192900200939</v>
      </c>
      <c r="N76">
        <v>143</v>
      </c>
      <c r="O76">
        <v>3.3</v>
      </c>
      <c r="P76">
        <v>106</v>
      </c>
    </row>
    <row r="77" spans="1:16" x14ac:dyDescent="0.25">
      <c r="A77">
        <f>Questionnaire!A78</f>
        <v>76</v>
      </c>
      <c r="B77" s="10" t="s">
        <v>32</v>
      </c>
      <c r="C77" s="9">
        <v>6.0999999999999999E-2</v>
      </c>
      <c r="D77" s="6">
        <v>32</v>
      </c>
      <c r="E77" s="10">
        <v>7</v>
      </c>
      <c r="F77" s="10">
        <v>2.2999999999999998</v>
      </c>
      <c r="G77" s="10">
        <v>1</v>
      </c>
      <c r="H77" s="10">
        <v>3.1</v>
      </c>
      <c r="I77" s="12">
        <f>85.1/88.4</f>
        <v>0.96266968325791846</v>
      </c>
      <c r="J77" s="12">
        <f t="shared" si="2"/>
        <v>15.402714932126695</v>
      </c>
      <c r="K77" s="10">
        <v>3.4</v>
      </c>
      <c r="L77" s="12">
        <f>(((140-Questionnaire!B78)*Questionnaire!Y78)/(72*Results!I77))*0.85</f>
        <v>53.308783783783788</v>
      </c>
      <c r="M77" s="12">
        <f t="shared" si="3"/>
        <v>2.0775558166862518</v>
      </c>
      <c r="N77">
        <v>132</v>
      </c>
      <c r="O77">
        <v>3.7</v>
      </c>
      <c r="P77">
        <v>92</v>
      </c>
    </row>
    <row r="78" spans="1:16" x14ac:dyDescent="0.25">
      <c r="A78">
        <f>Questionnaire!A79</f>
        <v>77</v>
      </c>
      <c r="B78" s="10" t="s">
        <v>11</v>
      </c>
      <c r="C78" s="9">
        <v>6.6000000000000003E-2</v>
      </c>
      <c r="D78" s="6">
        <v>5</v>
      </c>
      <c r="E78" s="10">
        <v>3</v>
      </c>
      <c r="F78" s="10">
        <v>1</v>
      </c>
      <c r="G78" s="10">
        <v>2</v>
      </c>
      <c r="H78" s="10">
        <v>1.5</v>
      </c>
      <c r="I78" s="12">
        <v>1</v>
      </c>
      <c r="J78" s="12">
        <f t="shared" si="2"/>
        <v>16</v>
      </c>
      <c r="K78" s="10">
        <v>2.9</v>
      </c>
      <c r="L78" s="12">
        <f>((140-Questionnaire!B79)*Questionnaire!Y79)/(72*Results!I78)</f>
        <v>96.805555555555557</v>
      </c>
      <c r="M78" s="12">
        <f t="shared" si="3"/>
        <v>0.3125</v>
      </c>
      <c r="N78">
        <v>140</v>
      </c>
      <c r="O78">
        <v>3.5</v>
      </c>
      <c r="P78">
        <v>107</v>
      </c>
    </row>
    <row r="79" spans="1:16" x14ac:dyDescent="0.25">
      <c r="A79">
        <f>Questionnaire!A80</f>
        <v>78</v>
      </c>
      <c r="B79" s="10" t="s">
        <v>11</v>
      </c>
      <c r="C79" s="9">
        <v>7.9000000000000001E-2</v>
      </c>
      <c r="D79" s="6">
        <v>7</v>
      </c>
      <c r="E79" s="10">
        <v>5</v>
      </c>
      <c r="F79" s="10">
        <v>1.1000000000000001</v>
      </c>
      <c r="G79" s="10">
        <v>3</v>
      </c>
      <c r="H79" s="10">
        <v>2.1</v>
      </c>
      <c r="I79" s="12">
        <f>107.5/88.4</f>
        <v>1.2160633484162895</v>
      </c>
      <c r="J79" s="12">
        <f t="shared" si="2"/>
        <v>19.457013574660632</v>
      </c>
      <c r="K79" s="10">
        <v>3.2</v>
      </c>
      <c r="L79" s="12">
        <f>((140-Questionnaire!B80)*Questionnaire!Y80)/(72*Results!I79)</f>
        <v>71.268217054263573</v>
      </c>
      <c r="M79" s="12">
        <f t="shared" si="3"/>
        <v>0.35976744186046516</v>
      </c>
      <c r="N79">
        <v>140</v>
      </c>
      <c r="O79">
        <v>3.1</v>
      </c>
      <c r="P79">
        <v>101</v>
      </c>
    </row>
    <row r="80" spans="1:16" x14ac:dyDescent="0.25">
      <c r="A80">
        <f>Questionnaire!A81</f>
        <v>79</v>
      </c>
      <c r="B80" s="10" t="s">
        <v>32</v>
      </c>
      <c r="C80" s="9">
        <v>8.3000000000000004E-2</v>
      </c>
      <c r="D80" s="21">
        <v>160</v>
      </c>
      <c r="E80" s="10">
        <v>5</v>
      </c>
      <c r="F80" s="10">
        <v>1.7</v>
      </c>
      <c r="G80" s="10">
        <v>2</v>
      </c>
      <c r="H80" s="10">
        <v>2.6</v>
      </c>
      <c r="I80" s="12">
        <f>97.05/88.4</f>
        <v>1.0978506787330315</v>
      </c>
      <c r="J80" s="12">
        <f t="shared" si="2"/>
        <v>17.565610859728505</v>
      </c>
      <c r="K80" s="10">
        <v>4.5</v>
      </c>
      <c r="L80" s="12">
        <f>(((140-Questionnaire!B81)*Questionnaire!Y81)/(72*Results!I80))*0.85</f>
        <v>60.971406491499231</v>
      </c>
      <c r="M80" s="12">
        <f t="shared" si="3"/>
        <v>9.1087068521380736</v>
      </c>
      <c r="N80">
        <v>139</v>
      </c>
      <c r="O80">
        <v>4.5</v>
      </c>
      <c r="P80">
        <v>102</v>
      </c>
    </row>
    <row r="81" spans="1:16" x14ac:dyDescent="0.25">
      <c r="A81">
        <f>Questionnaire!A82</f>
        <v>80</v>
      </c>
      <c r="B81" s="10" t="s">
        <v>32</v>
      </c>
      <c r="C81" s="9">
        <v>6.9000000000000006E-2</v>
      </c>
      <c r="D81" s="21">
        <v>4</v>
      </c>
      <c r="E81" s="10">
        <v>4</v>
      </c>
      <c r="F81" s="10">
        <v>1.2</v>
      </c>
      <c r="G81" s="10">
        <v>1</v>
      </c>
      <c r="H81" s="10">
        <v>2.4</v>
      </c>
      <c r="I81" s="12">
        <f>108.25/88.4</f>
        <v>1.2245475113122171</v>
      </c>
      <c r="J81" s="12">
        <f t="shared" si="2"/>
        <v>19.592760180995473</v>
      </c>
      <c r="K81" s="10">
        <v>3.3</v>
      </c>
      <c r="L81" s="12">
        <f>(((140-Questionnaire!B82)*Questionnaire!Y82)/(72*Results!I81))*0.85</f>
        <v>58.03731075186041</v>
      </c>
      <c r="M81" s="12">
        <f t="shared" si="3"/>
        <v>0.20415704387990766</v>
      </c>
      <c r="N81">
        <v>141</v>
      </c>
      <c r="O81">
        <v>5.3</v>
      </c>
      <c r="P81">
        <v>110</v>
      </c>
    </row>
    <row r="82" spans="1:16" x14ac:dyDescent="0.25">
      <c r="A82">
        <f>Questionnaire!A83</f>
        <v>81</v>
      </c>
      <c r="B82" s="10" t="s">
        <v>32</v>
      </c>
      <c r="C82" s="9">
        <v>0.06</v>
      </c>
      <c r="D82" s="6">
        <v>80</v>
      </c>
      <c r="E82" s="10">
        <v>4</v>
      </c>
      <c r="F82" s="10">
        <v>1.6</v>
      </c>
      <c r="G82" s="10">
        <v>1</v>
      </c>
      <c r="H82" s="10">
        <v>2.2000000000000002</v>
      </c>
      <c r="I82" s="12">
        <f>144.08/88.4</f>
        <v>1.6298642533936651</v>
      </c>
      <c r="J82" s="12">
        <f t="shared" si="2"/>
        <v>26.077828054298642</v>
      </c>
      <c r="K82" s="10">
        <v>8</v>
      </c>
      <c r="L82" s="12">
        <f>(((140-Questionnaire!B83)*Questionnaire!Y83)/(72*Results!I82))*0.85</f>
        <v>28.741316552532542</v>
      </c>
      <c r="M82" s="12">
        <f t="shared" si="3"/>
        <v>3.067740144364242</v>
      </c>
      <c r="N82">
        <v>140</v>
      </c>
      <c r="O82">
        <v>3.5</v>
      </c>
      <c r="P82">
        <v>100</v>
      </c>
    </row>
    <row r="83" spans="1:16" x14ac:dyDescent="0.25">
      <c r="A83">
        <f>Questionnaire!A84</f>
        <v>82</v>
      </c>
      <c r="B83" s="10" t="s">
        <v>32</v>
      </c>
      <c r="C83" s="9">
        <v>7.9000000000000001E-2</v>
      </c>
      <c r="D83" s="21">
        <v>4</v>
      </c>
      <c r="E83" s="10">
        <v>5</v>
      </c>
      <c r="F83" s="10">
        <v>1.8</v>
      </c>
      <c r="G83" s="10">
        <v>1</v>
      </c>
      <c r="H83" s="10">
        <v>2.7</v>
      </c>
      <c r="I83" s="12">
        <f>79.13/88.4</f>
        <v>0.89513574660633477</v>
      </c>
      <c r="J83" s="12">
        <f t="shared" si="2"/>
        <v>14.322171945701356</v>
      </c>
      <c r="K83" s="10">
        <v>5.5</v>
      </c>
      <c r="L83" s="12">
        <f>(((140-Questionnaire!B84)*Questionnaire!Y84)/(72*Results!I83))*0.85</f>
        <v>56.13053063173119</v>
      </c>
      <c r="M83" s="12">
        <f t="shared" si="3"/>
        <v>0.27928724883103756</v>
      </c>
      <c r="N83">
        <v>143</v>
      </c>
      <c r="O83">
        <v>3.7</v>
      </c>
      <c r="P83">
        <v>107</v>
      </c>
    </row>
    <row r="84" spans="1:16" x14ac:dyDescent="0.25">
      <c r="A84">
        <f>Questionnaire!A85</f>
        <v>83</v>
      </c>
      <c r="B84" s="10" t="s">
        <v>11</v>
      </c>
      <c r="C84" s="9">
        <v>0.104</v>
      </c>
      <c r="D84" s="6">
        <v>64</v>
      </c>
      <c r="E84" s="10">
        <v>3</v>
      </c>
      <c r="F84" s="10">
        <v>1.2</v>
      </c>
      <c r="G84" s="10">
        <v>1</v>
      </c>
      <c r="H84" s="10">
        <v>1.6</v>
      </c>
      <c r="I84" s="12">
        <f>117.2/88.4</f>
        <v>1.3257918552036199</v>
      </c>
      <c r="J84" s="12">
        <f t="shared" si="2"/>
        <v>21.212669683257918</v>
      </c>
      <c r="K84" s="10">
        <v>3.4</v>
      </c>
      <c r="L84" s="12">
        <f>((140-Questionnaire!B85)*Questionnaire!Y85)/(72*Results!I84)</f>
        <v>58.256588926810771</v>
      </c>
      <c r="M84" s="12">
        <f t="shared" si="3"/>
        <v>3.0170648464163823</v>
      </c>
      <c r="N84">
        <v>146</v>
      </c>
      <c r="O84">
        <v>3.6</v>
      </c>
      <c r="P84">
        <v>109</v>
      </c>
    </row>
    <row r="85" spans="1:16" x14ac:dyDescent="0.25">
      <c r="A85">
        <f>Questionnaire!A86</f>
        <v>84</v>
      </c>
      <c r="B85" s="10" t="s">
        <v>32</v>
      </c>
      <c r="C85" s="9">
        <v>4.2000000000000003E-2</v>
      </c>
      <c r="D85" s="6">
        <v>12</v>
      </c>
      <c r="E85" s="10">
        <v>4</v>
      </c>
      <c r="F85" s="10">
        <v>1.7</v>
      </c>
      <c r="G85" s="10">
        <v>1</v>
      </c>
      <c r="H85" s="10">
        <v>1.3</v>
      </c>
      <c r="I85" s="12">
        <f>93.32/88.4</f>
        <v>1.0556561085972849</v>
      </c>
      <c r="J85" s="12">
        <f t="shared" si="2"/>
        <v>16.890497737556558</v>
      </c>
      <c r="K85" s="10">
        <v>2.5</v>
      </c>
      <c r="L85" s="12">
        <f>(((140-Questionnaire!B86)*Questionnaire!Y86)/(72*Results!I85))*0.85</f>
        <v>36.904379197028149</v>
      </c>
      <c r="M85" s="12">
        <f t="shared" si="3"/>
        <v>0.7104586369481356</v>
      </c>
      <c r="N85">
        <v>144</v>
      </c>
      <c r="O85">
        <v>3.2</v>
      </c>
      <c r="P85">
        <v>106</v>
      </c>
    </row>
    <row r="86" spans="1:16" x14ac:dyDescent="0.25">
      <c r="A86">
        <f>Questionnaire!A87</f>
        <v>85</v>
      </c>
      <c r="B86" s="10" t="s">
        <v>32</v>
      </c>
      <c r="C86" s="9">
        <v>6.4000000000000001E-2</v>
      </c>
      <c r="D86" s="21">
        <v>160</v>
      </c>
      <c r="E86" s="10">
        <v>6</v>
      </c>
      <c r="F86" s="10">
        <v>1.4</v>
      </c>
      <c r="G86" s="10">
        <v>2</v>
      </c>
      <c r="H86" s="10">
        <v>3.7</v>
      </c>
      <c r="I86" s="12">
        <f>86.6/88.4</f>
        <v>0.97963800904977361</v>
      </c>
      <c r="J86" s="12">
        <f t="shared" si="2"/>
        <v>15.674208144796378</v>
      </c>
      <c r="K86" s="10">
        <v>3.8</v>
      </c>
      <c r="L86" s="12">
        <f>(((140-Questionnaire!B87)*Questionnaire!Y87)/(72*Results!I86))*0.85</f>
        <v>84.356556325378506</v>
      </c>
      <c r="M86" s="12">
        <f t="shared" si="3"/>
        <v>10.207852193995382</v>
      </c>
      <c r="N86">
        <v>140</v>
      </c>
      <c r="O86">
        <v>2.6</v>
      </c>
      <c r="P86">
        <v>98</v>
      </c>
    </row>
    <row r="87" spans="1:16" x14ac:dyDescent="0.25">
      <c r="A87">
        <f>Questionnaire!A88</f>
        <v>86</v>
      </c>
      <c r="B87" s="10" t="s">
        <v>11</v>
      </c>
      <c r="C87" s="9">
        <v>7.0000000000000007E-2</v>
      </c>
      <c r="D87" s="6">
        <v>8</v>
      </c>
      <c r="E87" s="10">
        <v>5</v>
      </c>
      <c r="F87" s="10">
        <v>1.8</v>
      </c>
      <c r="G87" s="10">
        <v>2</v>
      </c>
      <c r="H87" s="10">
        <v>2.2999999999999998</v>
      </c>
      <c r="I87" s="12">
        <f>113.47/88.4</f>
        <v>1.2835972850678732</v>
      </c>
      <c r="J87" s="12">
        <f t="shared" si="2"/>
        <v>20.537556561085971</v>
      </c>
      <c r="K87" s="10">
        <v>8.1999999999999993</v>
      </c>
      <c r="L87" s="12">
        <f>((140-Questionnaire!B88)*Questionnaire!Y88)/(72*Results!I87)</f>
        <v>33.835032265013758</v>
      </c>
      <c r="M87" s="12">
        <f t="shared" si="3"/>
        <v>0.3895302723186746</v>
      </c>
      <c r="N87">
        <v>140</v>
      </c>
      <c r="O87">
        <v>4.5</v>
      </c>
      <c r="P87">
        <v>106</v>
      </c>
    </row>
    <row r="88" spans="1:16" x14ac:dyDescent="0.25">
      <c r="A88">
        <f>Questionnaire!A89</f>
        <v>87</v>
      </c>
      <c r="B88" s="10" t="s">
        <v>32</v>
      </c>
      <c r="C88" s="9">
        <v>6.5000000000000002E-2</v>
      </c>
      <c r="D88" s="6">
        <v>14</v>
      </c>
      <c r="E88" s="10">
        <v>3</v>
      </c>
      <c r="F88" s="10">
        <v>1.1000000000000001</v>
      </c>
      <c r="G88" s="10">
        <v>1</v>
      </c>
      <c r="H88" s="10">
        <v>1.5</v>
      </c>
      <c r="I88" s="12">
        <f>106.75/88.4</f>
        <v>1.2075791855203619</v>
      </c>
      <c r="J88" s="12">
        <f t="shared" si="2"/>
        <v>19.321266968325791</v>
      </c>
      <c r="K88" s="10">
        <v>3.5</v>
      </c>
      <c r="L88" s="12">
        <f>(((140-Questionnaire!B89)*Questionnaire!Y89)/(72*Results!I88))*0.85</f>
        <v>55.9883918813427</v>
      </c>
      <c r="M88" s="12">
        <f t="shared" si="3"/>
        <v>0.72459016393442632</v>
      </c>
      <c r="N88">
        <v>142</v>
      </c>
      <c r="O88">
        <v>4</v>
      </c>
      <c r="P88">
        <v>106</v>
      </c>
    </row>
    <row r="89" spans="1:16" x14ac:dyDescent="0.25">
      <c r="A89">
        <f>Questionnaire!A90</f>
        <v>88</v>
      </c>
      <c r="B89" s="10" t="s">
        <v>32</v>
      </c>
      <c r="C89" s="9">
        <v>6.7000000000000004E-2</v>
      </c>
      <c r="D89" s="6">
        <v>78</v>
      </c>
      <c r="E89" s="10">
        <v>4</v>
      </c>
      <c r="F89" s="10">
        <v>1.6</v>
      </c>
      <c r="G89" s="10">
        <v>1</v>
      </c>
      <c r="H89" s="10">
        <v>1.7</v>
      </c>
      <c r="I89" s="12">
        <f>79.13/88.4</f>
        <v>0.89513574660633477</v>
      </c>
      <c r="J89" s="12">
        <f t="shared" si="2"/>
        <v>14.322171945701356</v>
      </c>
      <c r="K89" s="10">
        <v>5</v>
      </c>
      <c r="L89" s="12">
        <f>(((140-Questionnaire!B90)*Questionnaire!Y90)/(72*Results!I89))*0.85</f>
        <v>59.665065925270646</v>
      </c>
      <c r="M89" s="12">
        <f t="shared" si="3"/>
        <v>5.4461013522052326</v>
      </c>
      <c r="N89">
        <v>144</v>
      </c>
      <c r="O89">
        <v>3.6</v>
      </c>
      <c r="P89">
        <v>109</v>
      </c>
    </row>
    <row r="90" spans="1:16" x14ac:dyDescent="0.25">
      <c r="A90">
        <f>Questionnaire!A91</f>
        <v>89</v>
      </c>
      <c r="B90" s="10" t="s">
        <v>11</v>
      </c>
      <c r="C90" s="9">
        <v>5.3999999999999999E-2</v>
      </c>
      <c r="D90" s="21">
        <v>160</v>
      </c>
      <c r="E90" s="10">
        <v>4</v>
      </c>
      <c r="F90" s="10">
        <v>1.3</v>
      </c>
      <c r="G90" s="10">
        <v>2</v>
      </c>
      <c r="H90" s="10">
        <v>2</v>
      </c>
      <c r="I90" s="12">
        <f>108.99/88.4</f>
        <v>1.2329185520361989</v>
      </c>
      <c r="J90" s="12">
        <f t="shared" si="2"/>
        <v>19.726696832579183</v>
      </c>
      <c r="K90" s="10">
        <v>4.5</v>
      </c>
      <c r="L90" s="12">
        <f>((140-Questionnaire!B91)*Questionnaire!Y91)/(72*Results!I90)</f>
        <v>67.421323057161217</v>
      </c>
      <c r="M90" s="12">
        <f t="shared" si="3"/>
        <v>8.1108358565005982</v>
      </c>
      <c r="N90">
        <v>133</v>
      </c>
      <c r="O90">
        <v>3.7</v>
      </c>
      <c r="P90">
        <v>99</v>
      </c>
    </row>
    <row r="91" spans="1:16" x14ac:dyDescent="0.25">
      <c r="A91">
        <f>Questionnaire!A92</f>
        <v>90</v>
      </c>
      <c r="B91" s="10" t="s">
        <v>32</v>
      </c>
      <c r="C91" s="9">
        <v>6.3E-2</v>
      </c>
      <c r="D91" s="21">
        <v>160</v>
      </c>
      <c r="E91" s="10">
        <v>4</v>
      </c>
      <c r="F91" s="10">
        <v>1.5</v>
      </c>
      <c r="G91" s="10">
        <v>1</v>
      </c>
      <c r="H91" s="10">
        <v>3.1</v>
      </c>
      <c r="I91" s="12">
        <f>190.36/88.4</f>
        <v>2.1533936651583709</v>
      </c>
      <c r="J91" s="12">
        <f t="shared" si="2"/>
        <v>34.454298642533935</v>
      </c>
      <c r="K91" s="10">
        <v>9.9</v>
      </c>
      <c r="L91" s="12">
        <f>(((140-Questionnaire!B92)*Questionnaire!Y92)/(72*Results!I91))*0.85</f>
        <v>24.944476547360555</v>
      </c>
      <c r="M91" s="12">
        <f t="shared" si="3"/>
        <v>4.6438327379701621</v>
      </c>
      <c r="N91">
        <v>135</v>
      </c>
      <c r="O91">
        <v>4.9000000000000004</v>
      </c>
      <c r="P91">
        <v>102</v>
      </c>
    </row>
    <row r="92" spans="1:16" x14ac:dyDescent="0.25">
      <c r="A92">
        <f>Questionnaire!A93</f>
        <v>91</v>
      </c>
      <c r="B92" s="10" t="s">
        <v>11</v>
      </c>
      <c r="C92" s="9">
        <v>0.04</v>
      </c>
      <c r="D92" s="21">
        <v>160</v>
      </c>
      <c r="E92" s="10">
        <v>5</v>
      </c>
      <c r="F92" s="10">
        <v>1.5</v>
      </c>
      <c r="G92" s="10">
        <v>1</v>
      </c>
      <c r="H92" s="10">
        <v>3</v>
      </c>
      <c r="I92" s="12">
        <f>131.39/88.4</f>
        <v>1.48631221719457</v>
      </c>
      <c r="J92" s="12">
        <f t="shared" si="2"/>
        <v>23.780995475113119</v>
      </c>
      <c r="K92" s="10">
        <v>4.9000000000000004</v>
      </c>
      <c r="L92" s="12">
        <f>((140-Questionnaire!B93)*Questionnaire!Y93)/(72*Results!I92)</f>
        <v>63.692315498389029</v>
      </c>
      <c r="M92" s="12">
        <f t="shared" si="3"/>
        <v>6.7280614963087002</v>
      </c>
      <c r="N92">
        <v>140</v>
      </c>
      <c r="O92">
        <v>3.3</v>
      </c>
      <c r="P92">
        <v>107</v>
      </c>
    </row>
    <row r="93" spans="1:16" x14ac:dyDescent="0.25">
      <c r="A93">
        <f>Questionnaire!A94</f>
        <v>92</v>
      </c>
      <c r="B93" s="10" t="s">
        <v>11</v>
      </c>
      <c r="C93" s="9">
        <v>6.2E-2</v>
      </c>
      <c r="D93" s="6">
        <v>16</v>
      </c>
      <c r="E93" s="10">
        <v>5</v>
      </c>
      <c r="F93" s="10">
        <v>1.6</v>
      </c>
      <c r="G93" s="10">
        <v>1</v>
      </c>
      <c r="H93" s="10">
        <v>3</v>
      </c>
      <c r="I93" s="12">
        <f>98.54/88.4</f>
        <v>1.1147058823529412</v>
      </c>
      <c r="J93" s="12">
        <f t="shared" si="2"/>
        <v>17.835294117647059</v>
      </c>
      <c r="K93" s="10">
        <v>4.0999999999999996</v>
      </c>
      <c r="L93" s="12">
        <f>((140-Questionnaire!B94)*Questionnaire!Y94)/(72*Results!I93)</f>
        <v>77.711081794195238</v>
      </c>
      <c r="M93" s="12">
        <f t="shared" si="3"/>
        <v>0.8970976253298153</v>
      </c>
      <c r="N93">
        <v>142</v>
      </c>
      <c r="O93">
        <v>3.5</v>
      </c>
      <c r="P93">
        <v>110</v>
      </c>
    </row>
    <row r="94" spans="1:16" x14ac:dyDescent="0.25">
      <c r="A94">
        <f>Questionnaire!A95</f>
        <v>93</v>
      </c>
      <c r="B94" s="10" t="s">
        <v>32</v>
      </c>
      <c r="C94" s="9">
        <v>4.4999999999999998E-2</v>
      </c>
      <c r="D94" s="6">
        <v>34</v>
      </c>
      <c r="E94" s="10">
        <v>5</v>
      </c>
      <c r="F94" s="10">
        <v>1.8</v>
      </c>
      <c r="G94" s="10">
        <v>1</v>
      </c>
      <c r="H94" s="10">
        <v>2.9</v>
      </c>
      <c r="I94" s="12">
        <f>85.85/88.4</f>
        <v>0.97115384615384603</v>
      </c>
      <c r="J94" s="12">
        <f t="shared" si="2"/>
        <v>15.538461538461537</v>
      </c>
      <c r="K94" s="10">
        <v>3.6</v>
      </c>
      <c r="L94" s="12">
        <f>(((140-Questionnaire!B95)*Questionnaire!Y95)/(72*Results!I94))*0.85</f>
        <v>32.092409240924091</v>
      </c>
      <c r="M94" s="12">
        <f t="shared" si="3"/>
        <v>2.1881188118811883</v>
      </c>
      <c r="N94">
        <v>143</v>
      </c>
      <c r="O94">
        <v>4.3</v>
      </c>
      <c r="P94">
        <v>109</v>
      </c>
    </row>
    <row r="95" spans="1:16" x14ac:dyDescent="0.25">
      <c r="A95">
        <f>Questionnaire!A96</f>
        <v>94</v>
      </c>
      <c r="B95" s="10" t="s">
        <v>32</v>
      </c>
      <c r="C95" s="9">
        <v>6.7000000000000004E-2</v>
      </c>
      <c r="D95" s="21">
        <v>160</v>
      </c>
      <c r="E95" s="10">
        <v>5</v>
      </c>
      <c r="F95" s="10">
        <v>1.8</v>
      </c>
      <c r="G95" s="10">
        <v>1</v>
      </c>
      <c r="H95" s="10">
        <v>2.6</v>
      </c>
      <c r="I95" s="12">
        <f>204.55/88.4</f>
        <v>2.313914027149321</v>
      </c>
      <c r="J95" s="12">
        <f t="shared" si="2"/>
        <v>37.022624434389137</v>
      </c>
      <c r="K95" s="10">
        <v>10.8</v>
      </c>
      <c r="L95" s="12">
        <f>(((140-Questionnaire!B96)*Questionnaire!Y96)/(72*Results!I95))*0.85</f>
        <v>22.785466742714362</v>
      </c>
      <c r="M95" s="12">
        <f t="shared" si="3"/>
        <v>4.3216817404057695</v>
      </c>
      <c r="N95">
        <v>138</v>
      </c>
      <c r="O95">
        <v>4.3</v>
      </c>
      <c r="P95">
        <v>102</v>
      </c>
    </row>
    <row r="96" spans="1:16" x14ac:dyDescent="0.25">
      <c r="A96">
        <f>Questionnaire!A97</f>
        <v>95</v>
      </c>
      <c r="B96" s="10" t="s">
        <v>32</v>
      </c>
      <c r="C96" s="9">
        <v>7.2999999999999995E-2</v>
      </c>
      <c r="D96" s="6">
        <v>28</v>
      </c>
      <c r="E96" s="10">
        <v>5</v>
      </c>
      <c r="F96" s="10">
        <v>1.9</v>
      </c>
      <c r="G96" s="10">
        <v>1</v>
      </c>
      <c r="H96" s="10">
        <v>2.7</v>
      </c>
      <c r="I96" s="12">
        <v>1.5</v>
      </c>
      <c r="J96" s="12">
        <f>I96*16</f>
        <v>24</v>
      </c>
      <c r="K96" s="21">
        <v>16.2</v>
      </c>
      <c r="L96" s="12">
        <f>(((140-Questionnaire!B97)*Questionnaire!Y97)/(72*Results!I96))*0.85</f>
        <v>50.173611111111107</v>
      </c>
      <c r="M96" s="12">
        <f>D96/J96</f>
        <v>1.1666666666666667</v>
      </c>
      <c r="N96">
        <v>139</v>
      </c>
      <c r="O96">
        <v>4.5999999999999996</v>
      </c>
      <c r="P96">
        <v>102</v>
      </c>
    </row>
    <row r="97" spans="1:16" x14ac:dyDescent="0.25">
      <c r="A97">
        <f>Questionnaire!A98</f>
        <v>96</v>
      </c>
      <c r="B97" s="10" t="s">
        <v>11</v>
      </c>
      <c r="C97" s="9">
        <v>6.3E-2</v>
      </c>
      <c r="D97" s="6">
        <v>76</v>
      </c>
      <c r="E97" s="11">
        <v>4</v>
      </c>
      <c r="F97" s="11">
        <v>1.2</v>
      </c>
      <c r="G97" s="11">
        <v>1</v>
      </c>
      <c r="H97" s="11">
        <v>2.4</v>
      </c>
      <c r="I97" s="12">
        <f>82.86/88.4</f>
        <v>0.93733031674208134</v>
      </c>
      <c r="J97" s="12">
        <f>I97*16</f>
        <v>14.997285067873301</v>
      </c>
      <c r="K97" s="10">
        <v>2.7</v>
      </c>
      <c r="L97" s="12">
        <f>((140-Questionnaire!B98)*Questionnaire!Y98)/(72*Results!I97)</f>
        <v>52.394668383082582</v>
      </c>
      <c r="M97" s="12">
        <f>D97/J97</f>
        <v>5.0675838764180554</v>
      </c>
      <c r="N97">
        <v>146</v>
      </c>
      <c r="O97">
        <v>3.6</v>
      </c>
      <c r="P97">
        <v>106</v>
      </c>
    </row>
    <row r="98" spans="1:16" x14ac:dyDescent="0.25">
      <c r="A98">
        <f>Questionnaire!A99</f>
        <v>97</v>
      </c>
      <c r="B98" s="10" t="s">
        <v>11</v>
      </c>
      <c r="C98" s="9">
        <v>6.6000000000000003E-2</v>
      </c>
      <c r="D98" s="6">
        <v>9</v>
      </c>
      <c r="E98" s="11">
        <v>3</v>
      </c>
      <c r="F98" s="11">
        <v>1.3</v>
      </c>
      <c r="G98" s="11">
        <v>1</v>
      </c>
      <c r="H98" s="11">
        <v>1.2</v>
      </c>
      <c r="I98" s="12">
        <v>1.1000000000000001</v>
      </c>
      <c r="J98" s="12">
        <f>I98*16</f>
        <v>17.600000000000001</v>
      </c>
      <c r="K98" s="10">
        <v>4.3</v>
      </c>
      <c r="L98" s="12">
        <f>((140-Questionnaire!B99)*Questionnaire!Y99)/(72*Results!I98)</f>
        <v>97.575757575757578</v>
      </c>
      <c r="M98" s="12">
        <f>D98/J98</f>
        <v>0.51136363636363635</v>
      </c>
      <c r="N98">
        <v>137</v>
      </c>
      <c r="O98">
        <v>3.6</v>
      </c>
      <c r="P98">
        <v>100</v>
      </c>
    </row>
    <row r="99" spans="1:16" x14ac:dyDescent="0.25">
      <c r="A99">
        <f>Questionnaire!A100</f>
        <v>98</v>
      </c>
      <c r="B99" s="10" t="s">
        <v>32</v>
      </c>
      <c r="C99" s="9">
        <v>7.1999999999999995E-2</v>
      </c>
      <c r="D99" s="21">
        <v>160</v>
      </c>
      <c r="E99" s="10">
        <v>5</v>
      </c>
      <c r="F99" s="10">
        <v>2</v>
      </c>
      <c r="G99" s="10">
        <v>1</v>
      </c>
      <c r="H99" s="10">
        <v>2.6</v>
      </c>
      <c r="I99" s="12">
        <f>50.76/88.4</f>
        <v>0.57420814479638005</v>
      </c>
      <c r="J99" s="12">
        <f t="shared" si="2"/>
        <v>9.1873303167420808</v>
      </c>
      <c r="K99" s="10">
        <v>4.4000000000000004</v>
      </c>
      <c r="L99" s="12">
        <f>(((140-Questionnaire!B100)*Questionnaire!Y100)/(72*Results!I99))*0.85</f>
        <v>86.967592592592595</v>
      </c>
      <c r="M99" s="12">
        <f t="shared" si="3"/>
        <v>17.415287628053587</v>
      </c>
      <c r="N99">
        <v>142</v>
      </c>
      <c r="O99">
        <v>3.7</v>
      </c>
      <c r="P99">
        <v>106</v>
      </c>
    </row>
    <row r="100" spans="1:16" x14ac:dyDescent="0.25">
      <c r="A100">
        <f>Questionnaire!A101</f>
        <v>99</v>
      </c>
      <c r="B100" s="10" t="s">
        <v>32</v>
      </c>
      <c r="C100" s="9">
        <v>5.2999999999999999E-2</v>
      </c>
      <c r="D100" s="6">
        <v>55</v>
      </c>
      <c r="E100" s="10">
        <v>5</v>
      </c>
      <c r="F100" s="10">
        <v>1.7</v>
      </c>
      <c r="G100" s="10">
        <v>1</v>
      </c>
      <c r="H100" s="10">
        <v>2.9</v>
      </c>
      <c r="I100" s="12">
        <f>82.12/88.4</f>
        <v>0.92895927601809958</v>
      </c>
      <c r="J100" s="12">
        <f t="shared" si="2"/>
        <v>14.863348416289593</v>
      </c>
      <c r="K100" s="10">
        <v>5</v>
      </c>
      <c r="L100" s="12">
        <f>(((140-Questionnaire!B101)*Questionnaire!Y101)/(72*Results!I100))*0.85</f>
        <v>52.866807382150782</v>
      </c>
      <c r="M100" s="12">
        <f t="shared" si="3"/>
        <v>3.7003774963468095</v>
      </c>
      <c r="N100">
        <v>143</v>
      </c>
      <c r="O100">
        <v>4</v>
      </c>
      <c r="P100">
        <v>107</v>
      </c>
    </row>
    <row r="101" spans="1:16" x14ac:dyDescent="0.25">
      <c r="A101">
        <f>Questionnaire!A102</f>
        <v>100</v>
      </c>
      <c r="B101" s="10" t="s">
        <v>11</v>
      </c>
      <c r="C101" s="9">
        <v>7.0000000000000007E-2</v>
      </c>
      <c r="D101" s="21">
        <v>160</v>
      </c>
      <c r="E101" s="10">
        <v>5</v>
      </c>
      <c r="F101" s="10">
        <v>1.3</v>
      </c>
      <c r="G101" s="10">
        <v>2</v>
      </c>
      <c r="H101" s="10">
        <v>2.7</v>
      </c>
      <c r="I101" s="12">
        <f>118.7/88.4</f>
        <v>1.342760180995475</v>
      </c>
      <c r="J101" s="12">
        <f t="shared" si="2"/>
        <v>21.4841628959276</v>
      </c>
      <c r="K101" s="10">
        <v>5.0999999999999996</v>
      </c>
      <c r="L101" s="12">
        <f>((140-Questionnaire!B102)*Questionnaire!Y102)/(72*Results!I101)</f>
        <v>48.221566975568663</v>
      </c>
      <c r="M101" s="12">
        <f t="shared" si="3"/>
        <v>7.4473462510530757</v>
      </c>
      <c r="N101">
        <v>140</v>
      </c>
      <c r="O101">
        <v>3.9</v>
      </c>
      <c r="P101">
        <v>108</v>
      </c>
    </row>
    <row r="102" spans="1:16" x14ac:dyDescent="0.25">
      <c r="A102">
        <f>Questionnaire!A103</f>
        <v>101</v>
      </c>
      <c r="B102" s="10" t="s">
        <v>11</v>
      </c>
      <c r="C102" s="9">
        <v>5.8000000000000003E-2</v>
      </c>
      <c r="D102" s="6">
        <v>141</v>
      </c>
      <c r="E102" s="10">
        <v>3</v>
      </c>
      <c r="F102" s="10">
        <v>0.6</v>
      </c>
      <c r="G102" s="10">
        <v>3</v>
      </c>
      <c r="H102" s="10">
        <v>1.2</v>
      </c>
      <c r="I102" s="12">
        <f>144.3/88.4</f>
        <v>1.6323529411764706</v>
      </c>
      <c r="J102" s="12">
        <f t="shared" si="2"/>
        <v>26.117647058823529</v>
      </c>
      <c r="K102" s="10">
        <v>9.4</v>
      </c>
      <c r="L102" s="12">
        <f>((140-Questionnaire!B103)*Questionnaire!Y103)/(72*Results!I102)</f>
        <v>51.348848848848846</v>
      </c>
      <c r="M102" s="12">
        <f t="shared" si="3"/>
        <v>5.3986486486486491</v>
      </c>
      <c r="N102">
        <v>138</v>
      </c>
      <c r="O102">
        <v>4</v>
      </c>
      <c r="P102">
        <v>110</v>
      </c>
    </row>
    <row r="103" spans="1:16" x14ac:dyDescent="0.25">
      <c r="A103">
        <f>Questionnaire!A104</f>
        <v>102</v>
      </c>
      <c r="B103" s="10" t="s">
        <v>32</v>
      </c>
      <c r="C103" s="9">
        <v>6.7000000000000004E-2</v>
      </c>
      <c r="D103" s="6">
        <v>108</v>
      </c>
      <c r="E103" s="10">
        <v>5</v>
      </c>
      <c r="F103" s="10">
        <v>1.7</v>
      </c>
      <c r="G103" s="10">
        <v>1</v>
      </c>
      <c r="H103" s="10">
        <v>2.8</v>
      </c>
      <c r="I103" s="12">
        <f>79.33/88.4</f>
        <v>0.89739819004524879</v>
      </c>
      <c r="J103" s="12">
        <f t="shared" si="2"/>
        <v>14.358371040723981</v>
      </c>
      <c r="K103" s="10">
        <v>4.4000000000000004</v>
      </c>
      <c r="L103" s="12">
        <f>(((140-Questionnaire!B104)*Questionnaire!Y104)/(72*Results!I103))*0.85</f>
        <v>41.965453730548909</v>
      </c>
      <c r="M103" s="12">
        <f t="shared" si="3"/>
        <v>7.5217446111181152</v>
      </c>
      <c r="N103">
        <v>134</v>
      </c>
      <c r="O103">
        <v>3.8</v>
      </c>
      <c r="P103">
        <v>90</v>
      </c>
    </row>
    <row r="104" spans="1:16" x14ac:dyDescent="0.25">
      <c r="A104">
        <f>Questionnaire!A105</f>
        <v>103</v>
      </c>
      <c r="B104" s="10" t="s">
        <v>11</v>
      </c>
      <c r="C104" s="9">
        <v>5.8999999999999997E-2</v>
      </c>
      <c r="D104" s="6">
        <v>86</v>
      </c>
      <c r="E104" s="10">
        <v>5</v>
      </c>
      <c r="F104" s="10">
        <v>1.1000000000000001</v>
      </c>
      <c r="G104" s="10">
        <v>2</v>
      </c>
      <c r="H104" s="10">
        <v>2.9</v>
      </c>
      <c r="I104" s="12">
        <f>87.44/88.4</f>
        <v>0.9891402714932126</v>
      </c>
      <c r="J104" s="12">
        <f t="shared" si="2"/>
        <v>15.826244343891402</v>
      </c>
      <c r="K104" s="10">
        <v>4.8</v>
      </c>
      <c r="L104" s="12">
        <f>((140-Questionnaire!B105)*Questionnaire!Y105)/(72*Results!I104)</f>
        <v>67.398597133272347</v>
      </c>
      <c r="M104" s="12">
        <f t="shared" si="3"/>
        <v>5.4340118938700828</v>
      </c>
      <c r="N104">
        <v>138</v>
      </c>
      <c r="O104">
        <v>4.0999999999999996</v>
      </c>
      <c r="P104">
        <v>101</v>
      </c>
    </row>
    <row r="105" spans="1:16" x14ac:dyDescent="0.25">
      <c r="A105">
        <f>Questionnaire!A106</f>
        <v>104</v>
      </c>
      <c r="B105" s="14" t="s">
        <v>32</v>
      </c>
      <c r="C105" s="6">
        <v>9.5</v>
      </c>
      <c r="D105" s="6">
        <v>5</v>
      </c>
      <c r="E105" s="10">
        <v>5</v>
      </c>
      <c r="F105" s="10">
        <v>1.9</v>
      </c>
      <c r="G105" s="10">
        <v>1</v>
      </c>
      <c r="H105" s="10">
        <v>2.6</v>
      </c>
      <c r="I105" s="12">
        <f>83.84/88.4</f>
        <v>0.94841628959276014</v>
      </c>
      <c r="J105" s="12">
        <f>I105*16</f>
        <v>15.174660633484162</v>
      </c>
      <c r="K105" s="10">
        <v>4.8</v>
      </c>
      <c r="L105" s="12">
        <f>(((140-Questionnaire!B106)*Questionnaire!Y106)/(72*Results!I105))*0.85</f>
        <v>34.504890267175576</v>
      </c>
      <c r="M105" s="12">
        <f t="shared" si="3"/>
        <v>0.32949666030534353</v>
      </c>
      <c r="N105">
        <v>126</v>
      </c>
      <c r="O105">
        <v>5.2</v>
      </c>
      <c r="P105">
        <v>90</v>
      </c>
    </row>
    <row r="106" spans="1:16" x14ac:dyDescent="0.25">
      <c r="A106">
        <f>Questionnaire!A107</f>
        <v>105</v>
      </c>
      <c r="B106" s="14" t="s">
        <v>11</v>
      </c>
      <c r="C106" s="6">
        <v>12</v>
      </c>
      <c r="D106" s="21">
        <v>160</v>
      </c>
      <c r="E106" s="10">
        <v>6</v>
      </c>
      <c r="F106" s="10">
        <v>1.2</v>
      </c>
      <c r="G106" s="10">
        <v>5</v>
      </c>
      <c r="H106" s="10">
        <v>2.5</v>
      </c>
      <c r="I106" s="12">
        <f>97.36/88.4</f>
        <v>1.1013574660633483</v>
      </c>
      <c r="J106" s="12">
        <f t="shared" si="2"/>
        <v>17.621719457013572</v>
      </c>
      <c r="K106" s="10">
        <v>4.3</v>
      </c>
      <c r="L106" s="12">
        <f>((140-Questionnaire!B107)*Questionnaire!Y107)/(72*Results!I106)</f>
        <v>70.128104172372872</v>
      </c>
      <c r="M106" s="12">
        <f>D106/J106</f>
        <v>9.0797041906327038</v>
      </c>
      <c r="N106">
        <v>137</v>
      </c>
      <c r="O106">
        <v>4.7</v>
      </c>
      <c r="P106">
        <v>104</v>
      </c>
    </row>
    <row r="107" spans="1:16" x14ac:dyDescent="0.25">
      <c r="A107">
        <f>Questionnaire!A108</f>
        <v>106</v>
      </c>
      <c r="B107" s="14" t="s">
        <v>32</v>
      </c>
      <c r="C107" s="15">
        <v>0.14599999999999999</v>
      </c>
      <c r="D107" s="6">
        <v>6</v>
      </c>
      <c r="E107" s="10">
        <v>5</v>
      </c>
      <c r="F107" s="10">
        <v>0.9</v>
      </c>
      <c r="G107" s="10">
        <v>2</v>
      </c>
      <c r="H107" s="10">
        <v>3.2</v>
      </c>
      <c r="I107" s="12">
        <f>71.22/88.4</f>
        <v>0.80565610859728498</v>
      </c>
      <c r="J107" s="12">
        <f t="shared" si="2"/>
        <v>12.89049773755656</v>
      </c>
      <c r="K107" s="10">
        <v>4.4000000000000004</v>
      </c>
      <c r="L107" s="12">
        <f>(((140-Questionnaire!B108)*Questionnaire!Y108)/(72*Results!I107))*0.85</f>
        <v>84.505830915161155</v>
      </c>
      <c r="M107" s="12">
        <f t="shared" si="3"/>
        <v>0.46545914069081723</v>
      </c>
      <c r="N107">
        <v>139</v>
      </c>
      <c r="O107">
        <v>4.0999999999999996</v>
      </c>
      <c r="P107">
        <v>103</v>
      </c>
    </row>
    <row r="108" spans="1:16" x14ac:dyDescent="0.25">
      <c r="A108">
        <f>Questionnaire!A109</f>
        <v>107</v>
      </c>
      <c r="B108" s="14" t="s">
        <v>32</v>
      </c>
      <c r="C108" s="9">
        <v>7.3999999999999996E-2</v>
      </c>
      <c r="D108" s="21">
        <v>4</v>
      </c>
      <c r="E108" s="10">
        <v>4</v>
      </c>
      <c r="F108" s="10">
        <v>1.2</v>
      </c>
      <c r="G108" s="10">
        <v>1</v>
      </c>
      <c r="H108" s="10">
        <v>2.5</v>
      </c>
      <c r="I108" s="12">
        <f>82.94/88.4</f>
        <v>0.93823529411764695</v>
      </c>
      <c r="J108" s="12">
        <f t="shared" si="2"/>
        <v>15.011764705882351</v>
      </c>
      <c r="K108" s="10">
        <v>4.4000000000000004</v>
      </c>
      <c r="L108" s="12">
        <f>(((140-Questionnaire!B109)*Questionnaire!Y109)/(72*Results!I108))*0.85</f>
        <v>88.179728317659354</v>
      </c>
      <c r="M108" s="12">
        <f t="shared" si="3"/>
        <v>0.26645768025078376</v>
      </c>
      <c r="N108">
        <v>137</v>
      </c>
      <c r="O108">
        <v>5.2</v>
      </c>
      <c r="P108">
        <v>106</v>
      </c>
    </row>
    <row r="109" spans="1:16" x14ac:dyDescent="0.25">
      <c r="A109">
        <f>Questionnaire!A110</f>
        <v>108</v>
      </c>
      <c r="B109" s="14" t="s">
        <v>32</v>
      </c>
      <c r="C109" s="9">
        <v>9.9000000000000005E-2</v>
      </c>
      <c r="D109" s="6">
        <v>65</v>
      </c>
      <c r="E109" s="10">
        <v>4</v>
      </c>
      <c r="F109" s="10">
        <v>1.2</v>
      </c>
      <c r="G109" s="10">
        <v>1</v>
      </c>
      <c r="H109" s="10">
        <v>2.4</v>
      </c>
      <c r="I109" s="12">
        <f>99.16/88.4</f>
        <v>1.1217194570135745</v>
      </c>
      <c r="J109" s="12">
        <f t="shared" si="2"/>
        <v>17.947511312217191</v>
      </c>
      <c r="K109" s="10">
        <v>4.9000000000000004</v>
      </c>
      <c r="L109" s="12">
        <f>(((140-Questionnaire!B110)*Questionnaire!Y110)/(72*Results!I109))*0.85</f>
        <v>49.728343081887864</v>
      </c>
      <c r="M109" s="12">
        <f t="shared" si="3"/>
        <v>3.6216720451795084</v>
      </c>
      <c r="N109">
        <v>139</v>
      </c>
      <c r="O109">
        <v>5</v>
      </c>
      <c r="P109">
        <v>102</v>
      </c>
    </row>
    <row r="110" spans="1:16" x14ac:dyDescent="0.25">
      <c r="A110">
        <f>Questionnaire!A111</f>
        <v>109</v>
      </c>
      <c r="B110" s="14" t="s">
        <v>32</v>
      </c>
      <c r="C110" s="9">
        <v>0.111</v>
      </c>
      <c r="D110" s="6">
        <v>21</v>
      </c>
      <c r="E110" s="10">
        <v>5</v>
      </c>
      <c r="F110" s="10">
        <v>1.7</v>
      </c>
      <c r="G110" s="10">
        <v>2</v>
      </c>
      <c r="H110" s="10">
        <v>2.5</v>
      </c>
      <c r="I110" s="12">
        <v>0.9</v>
      </c>
      <c r="J110" s="12">
        <f t="shared" si="2"/>
        <v>14.4</v>
      </c>
      <c r="K110" s="10">
        <v>4</v>
      </c>
      <c r="L110" s="12">
        <f>(((140-Questionnaire!B111)*Questionnaire!Y111)/(72*Results!I110))*0.85</f>
        <v>93.657407407407405</v>
      </c>
      <c r="M110" s="12">
        <f t="shared" si="3"/>
        <v>1.4583333333333333</v>
      </c>
      <c r="N110">
        <v>137</v>
      </c>
      <c r="O110">
        <v>4.5</v>
      </c>
      <c r="P110">
        <v>104</v>
      </c>
    </row>
    <row r="111" spans="1:16" x14ac:dyDescent="0.25">
      <c r="A111">
        <f>Questionnaire!A112</f>
        <v>110</v>
      </c>
      <c r="B111" s="14" t="s">
        <v>32</v>
      </c>
      <c r="C111" s="9">
        <v>0.113</v>
      </c>
      <c r="D111" s="21">
        <v>4</v>
      </c>
      <c r="E111" s="10">
        <v>3</v>
      </c>
      <c r="F111" s="10">
        <v>1.2</v>
      </c>
      <c r="G111" s="10">
        <v>2</v>
      </c>
      <c r="H111" s="10">
        <v>0.9</v>
      </c>
      <c r="I111" s="12">
        <f>56.79/88.4</f>
        <v>0.64242081447963795</v>
      </c>
      <c r="J111" s="12">
        <f t="shared" si="2"/>
        <v>10.278733031674207</v>
      </c>
      <c r="K111" s="10">
        <v>2.6</v>
      </c>
      <c r="L111" s="12">
        <f>(((140-Questionnaire!B112)*Questionnaire!Y112)/(72*Results!I111))*0.85</f>
        <v>97.616873080158882</v>
      </c>
      <c r="M111" s="12">
        <f t="shared" si="3"/>
        <v>0.38915301989786938</v>
      </c>
      <c r="N111">
        <v>139</v>
      </c>
      <c r="O111">
        <v>4.3</v>
      </c>
      <c r="P111">
        <v>102</v>
      </c>
    </row>
    <row r="112" spans="1:16" x14ac:dyDescent="0.25">
      <c r="A112">
        <f>Questionnaire!A113</f>
        <v>111</v>
      </c>
      <c r="B112" s="14" t="s">
        <v>11</v>
      </c>
      <c r="C112" s="9">
        <v>7.5999999999999998E-2</v>
      </c>
      <c r="D112" s="21">
        <v>4</v>
      </c>
      <c r="E112" s="10">
        <v>3</v>
      </c>
      <c r="F112" s="10">
        <v>1</v>
      </c>
      <c r="G112" s="10">
        <v>1</v>
      </c>
      <c r="H112" s="10">
        <v>1.6</v>
      </c>
      <c r="I112" s="12">
        <f>100.96/88.4</f>
        <v>1.1420814479638008</v>
      </c>
      <c r="J112" s="12">
        <f t="shared" si="2"/>
        <v>18.273303167420814</v>
      </c>
      <c r="K112" s="10">
        <v>5.5</v>
      </c>
      <c r="L112" s="12">
        <f>((140-Questionnaire!B113)*Questionnaire!Y113)/(72*Results!I112)</f>
        <v>65.669572107765461</v>
      </c>
      <c r="M112" s="12">
        <f t="shared" si="3"/>
        <v>0.21889857369255153</v>
      </c>
      <c r="N112">
        <v>137</v>
      </c>
      <c r="O112">
        <v>5.2</v>
      </c>
      <c r="P112">
        <v>100</v>
      </c>
    </row>
    <row r="113" spans="1:16" x14ac:dyDescent="0.25">
      <c r="A113">
        <f>Questionnaire!A114</f>
        <v>112</v>
      </c>
      <c r="B113" s="14" t="s">
        <v>11</v>
      </c>
      <c r="C113" s="9">
        <v>0.1</v>
      </c>
      <c r="D113" s="21">
        <v>4</v>
      </c>
      <c r="E113" s="10">
        <v>6</v>
      </c>
      <c r="F113" s="10">
        <v>1.1000000000000001</v>
      </c>
      <c r="G113" s="10">
        <v>3</v>
      </c>
      <c r="H113" s="10">
        <v>3.4</v>
      </c>
      <c r="I113" s="12">
        <f>104.57/88.4</f>
        <v>1.1829185520361989</v>
      </c>
      <c r="J113" s="12">
        <f t="shared" si="2"/>
        <v>18.926696832579182</v>
      </c>
      <c r="K113" s="10">
        <v>7.2</v>
      </c>
      <c r="L113" s="12">
        <f>((140-Questionnaire!B114)*Questionnaire!Y114)/(72*Results!I113)</f>
        <v>51.896124871165526</v>
      </c>
      <c r="M113" s="12">
        <f t="shared" si="3"/>
        <v>0.21134168499569669</v>
      </c>
      <c r="N113">
        <v>138</v>
      </c>
      <c r="O113">
        <v>3.4</v>
      </c>
      <c r="P113">
        <v>98</v>
      </c>
    </row>
    <row r="114" spans="1:16" x14ac:dyDescent="0.25">
      <c r="A114">
        <f>Questionnaire!A115</f>
        <v>113</v>
      </c>
      <c r="B114" s="14" t="s">
        <v>11</v>
      </c>
      <c r="C114" s="9">
        <v>7.6999999999999999E-2</v>
      </c>
      <c r="D114" s="6">
        <v>148</v>
      </c>
      <c r="E114" s="10">
        <v>4</v>
      </c>
      <c r="F114" s="10">
        <v>1.1000000000000001</v>
      </c>
      <c r="G114" s="10">
        <v>2</v>
      </c>
      <c r="H114" s="10">
        <v>2.1</v>
      </c>
      <c r="I114" s="12">
        <f>283.06/88.4</f>
        <v>3.2020361990950224</v>
      </c>
      <c r="J114" s="12">
        <f t="shared" si="2"/>
        <v>51.232579185520358</v>
      </c>
      <c r="K114" s="10">
        <v>15.8</v>
      </c>
      <c r="L114" s="12">
        <f>((140-Questionnaire!B115)*Questionnaire!Y115)/(72*Results!I114)</f>
        <v>21.50541306515305</v>
      </c>
      <c r="M114" s="12">
        <f t="shared" si="3"/>
        <v>2.8887868296474246</v>
      </c>
      <c r="N114">
        <v>141</v>
      </c>
      <c r="O114">
        <v>6</v>
      </c>
      <c r="P114">
        <v>108</v>
      </c>
    </row>
    <row r="115" spans="1:16" x14ac:dyDescent="0.25">
      <c r="A115">
        <f>Questionnaire!A116</f>
        <v>114</v>
      </c>
      <c r="B115" s="14" t="s">
        <v>32</v>
      </c>
      <c r="C115" s="9">
        <v>7.1999999999999995E-2</v>
      </c>
      <c r="D115" s="21">
        <v>4</v>
      </c>
      <c r="E115" s="10">
        <v>5</v>
      </c>
      <c r="F115" s="10">
        <v>1.3</v>
      </c>
      <c r="G115" s="10">
        <v>3</v>
      </c>
      <c r="H115" s="10">
        <v>2.8</v>
      </c>
      <c r="I115" s="12">
        <v>0.9</v>
      </c>
      <c r="J115" s="12">
        <f t="shared" si="2"/>
        <v>14.4</v>
      </c>
      <c r="K115" s="10">
        <v>3.7</v>
      </c>
      <c r="L115" s="12">
        <f>(((140-Questionnaire!B116)*Questionnaire!Y116)/(72*Results!I115))*0.85</f>
        <v>96.333333333333343</v>
      </c>
      <c r="M115" s="12">
        <f t="shared" si="3"/>
        <v>0.27777777777777779</v>
      </c>
      <c r="N115">
        <v>142</v>
      </c>
      <c r="O115">
        <v>4.0999999999999996</v>
      </c>
      <c r="P115">
        <v>106</v>
      </c>
    </row>
    <row r="116" spans="1:16" x14ac:dyDescent="0.25">
      <c r="A116">
        <f>Questionnaire!A117</f>
        <v>115</v>
      </c>
      <c r="B116" s="14" t="s">
        <v>11</v>
      </c>
      <c r="C116" s="9">
        <v>7.0000000000000007E-2</v>
      </c>
      <c r="D116" s="6">
        <v>150</v>
      </c>
      <c r="E116" s="10">
        <v>5</v>
      </c>
      <c r="F116" s="10">
        <v>1.4</v>
      </c>
      <c r="G116" s="10">
        <v>1</v>
      </c>
      <c r="H116" s="10">
        <v>2</v>
      </c>
      <c r="I116" s="12">
        <f>122.6/88.4</f>
        <v>1.3868778280542984</v>
      </c>
      <c r="J116" s="12">
        <f t="shared" si="2"/>
        <v>22.190045248868774</v>
      </c>
      <c r="K116" s="10">
        <v>6.3</v>
      </c>
      <c r="L116" s="12">
        <f>((140-Questionnaire!B117)*Questionnaire!Y117)/(72*Results!I116)</f>
        <v>53.978158419430855</v>
      </c>
      <c r="M116" s="12">
        <f t="shared" si="3"/>
        <v>6.7597879282218614</v>
      </c>
      <c r="N116">
        <v>132</v>
      </c>
      <c r="O116">
        <v>4.2</v>
      </c>
      <c r="P116">
        <v>96</v>
      </c>
    </row>
    <row r="117" spans="1:16" x14ac:dyDescent="0.25">
      <c r="A117">
        <f>Questionnaire!A118</f>
        <v>116</v>
      </c>
      <c r="B117" s="14" t="s">
        <v>32</v>
      </c>
      <c r="C117" s="9">
        <v>8.5999999999999993E-2</v>
      </c>
      <c r="D117" s="21">
        <v>160</v>
      </c>
      <c r="E117" s="10">
        <v>5</v>
      </c>
      <c r="F117" s="10">
        <v>0.8</v>
      </c>
      <c r="G117" s="10">
        <v>3</v>
      </c>
      <c r="H117" s="10">
        <v>1.6</v>
      </c>
      <c r="I117" s="12">
        <v>1.1000000000000001</v>
      </c>
      <c r="J117" s="12">
        <f t="shared" si="2"/>
        <v>17.600000000000001</v>
      </c>
      <c r="K117" s="10">
        <v>2.7</v>
      </c>
      <c r="L117" s="12">
        <f>(((140-Questionnaire!B118)*Questionnaire!Y118)/(72*Results!I117))*0.85</f>
        <v>93.37121212121211</v>
      </c>
      <c r="M117" s="12">
        <f t="shared" si="3"/>
        <v>9.0909090909090899</v>
      </c>
      <c r="N117">
        <v>140</v>
      </c>
      <c r="O117">
        <v>4.5</v>
      </c>
      <c r="P117">
        <v>104</v>
      </c>
    </row>
    <row r="118" spans="1:16" x14ac:dyDescent="0.25">
      <c r="A118">
        <f>Questionnaire!A119</f>
        <v>117</v>
      </c>
      <c r="B118" s="16" t="s">
        <v>32</v>
      </c>
      <c r="C118" s="17">
        <v>7.9000000000000001E-2</v>
      </c>
      <c r="D118" s="16">
        <v>160</v>
      </c>
      <c r="E118" s="16">
        <v>5</v>
      </c>
      <c r="F118" s="16">
        <v>1</v>
      </c>
      <c r="G118" s="16">
        <v>7</v>
      </c>
      <c r="H118" s="16">
        <v>2.6</v>
      </c>
      <c r="I118" s="18">
        <f>85.64/88.4</f>
        <v>0.96877828054298631</v>
      </c>
      <c r="J118" s="18">
        <f t="shared" si="2"/>
        <v>15.500452488687781</v>
      </c>
      <c r="K118" s="16">
        <v>4.4000000000000004</v>
      </c>
      <c r="L118" s="18">
        <f>(((140-Questionnaire!B119)*Questionnaire!Y119)/(72*Results!I118))*0.85</f>
        <v>49.10967746120712</v>
      </c>
      <c r="M118" s="18">
        <f t="shared" si="3"/>
        <v>10.322279308734238</v>
      </c>
      <c r="N118" s="19">
        <v>141</v>
      </c>
      <c r="O118" s="19">
        <v>5</v>
      </c>
      <c r="P118" s="19">
        <v>105</v>
      </c>
    </row>
    <row r="119" spans="1:16" x14ac:dyDescent="0.25">
      <c r="A119">
        <f>Questionnaire!A120</f>
        <v>118</v>
      </c>
      <c r="B119" s="14" t="s">
        <v>11</v>
      </c>
      <c r="C119" s="9">
        <v>5.8000000000000003E-2</v>
      </c>
      <c r="D119" s="21">
        <v>4</v>
      </c>
      <c r="E119" s="10">
        <v>5</v>
      </c>
      <c r="F119" s="10">
        <v>1</v>
      </c>
      <c r="G119" s="10">
        <v>6</v>
      </c>
      <c r="H119" s="10">
        <v>3.5</v>
      </c>
      <c r="I119" s="12">
        <f>80.23/88.4</f>
        <v>0.90757918552036199</v>
      </c>
      <c r="J119" s="12">
        <f t="shared" si="2"/>
        <v>14.521266968325792</v>
      </c>
      <c r="K119" s="10">
        <v>2.8</v>
      </c>
      <c r="L119" s="12">
        <f>((140-Questionnaire!B120)*Questionnaire!Y120)/(72*Results!I119)</f>
        <v>82.576204523107165</v>
      </c>
      <c r="M119" s="12">
        <f t="shared" si="3"/>
        <v>0.27545805808301133</v>
      </c>
      <c r="N119">
        <v>141</v>
      </c>
      <c r="O119">
        <v>4.5999999999999996</v>
      </c>
      <c r="P119">
        <v>103</v>
      </c>
    </row>
    <row r="120" spans="1:16" x14ac:dyDescent="0.25">
      <c r="A120">
        <f>Questionnaire!A121</f>
        <v>119</v>
      </c>
      <c r="B120" s="14" t="s">
        <v>32</v>
      </c>
      <c r="C120" s="9">
        <v>0.114</v>
      </c>
      <c r="D120" s="6">
        <v>6</v>
      </c>
      <c r="E120" s="10">
        <v>6</v>
      </c>
      <c r="F120" s="10">
        <v>1.3</v>
      </c>
      <c r="G120" s="10">
        <v>5</v>
      </c>
      <c r="H120" s="10">
        <v>2.4</v>
      </c>
      <c r="I120" s="12">
        <f>73.02/88.4</f>
        <v>0.82601809954751126</v>
      </c>
      <c r="J120" s="12">
        <f t="shared" si="2"/>
        <v>13.21628959276018</v>
      </c>
      <c r="K120" s="10">
        <v>2.7</v>
      </c>
      <c r="L120" s="12">
        <f>(((140-Questionnaire!B121)*Questionnaire!Y121)/(72*Results!I120))*0.85</f>
        <v>60.827292370431238</v>
      </c>
      <c r="M120" s="12">
        <f t="shared" si="3"/>
        <v>0.45398520953163518</v>
      </c>
      <c r="N120">
        <v>140</v>
      </c>
      <c r="O120">
        <v>4</v>
      </c>
      <c r="P120">
        <v>99</v>
      </c>
    </row>
    <row r="121" spans="1:16" x14ac:dyDescent="0.25">
      <c r="A121">
        <f>Questionnaire!A122</f>
        <v>120</v>
      </c>
      <c r="B121" s="14" t="s">
        <v>11</v>
      </c>
      <c r="C121" s="9">
        <v>7.1999999999999995E-2</v>
      </c>
      <c r="D121" s="6">
        <v>12</v>
      </c>
      <c r="E121" s="10">
        <v>4</v>
      </c>
      <c r="F121" s="10">
        <v>1.1000000000000001</v>
      </c>
      <c r="G121" s="10">
        <v>1</v>
      </c>
      <c r="H121" s="10">
        <v>2.5</v>
      </c>
      <c r="I121" s="12">
        <v>1</v>
      </c>
      <c r="J121" s="12">
        <f t="shared" si="2"/>
        <v>16</v>
      </c>
      <c r="K121" s="10">
        <v>3</v>
      </c>
      <c r="L121" s="12">
        <f>((140-Questionnaire!B122)*Questionnaire!Y122)/(72*Results!I121)</f>
        <v>96.256944444444443</v>
      </c>
      <c r="M121" s="12">
        <f t="shared" si="3"/>
        <v>0.75</v>
      </c>
      <c r="N121">
        <v>137</v>
      </c>
      <c r="O121">
        <v>3.8</v>
      </c>
      <c r="P121">
        <v>101</v>
      </c>
    </row>
    <row r="122" spans="1:16" x14ac:dyDescent="0.25">
      <c r="A122">
        <f>Questionnaire!A123</f>
        <v>121</v>
      </c>
      <c r="B122" s="14" t="s">
        <v>32</v>
      </c>
      <c r="C122" s="9">
        <v>8.5000000000000006E-2</v>
      </c>
      <c r="D122" s="6">
        <v>5</v>
      </c>
      <c r="E122" s="10">
        <v>4</v>
      </c>
      <c r="F122" s="10">
        <v>1.2</v>
      </c>
      <c r="G122" s="10">
        <v>1</v>
      </c>
      <c r="H122" s="10">
        <v>2.4</v>
      </c>
      <c r="I122" s="12">
        <f>70.31/88.4</f>
        <v>0.79536199095022619</v>
      </c>
      <c r="J122" s="12">
        <f t="shared" si="2"/>
        <v>12.725791855203619</v>
      </c>
      <c r="K122" s="10">
        <v>3.1</v>
      </c>
      <c r="L122" s="12">
        <f>(((140-Questionnaire!B123)*Questionnaire!Y123)/(72*Results!I122))*0.85</f>
        <v>98.320011378182329</v>
      </c>
      <c r="M122" s="12">
        <f t="shared" si="3"/>
        <v>0.39290285876831177</v>
      </c>
      <c r="N122">
        <v>139</v>
      </c>
      <c r="O122">
        <v>4.0999999999999996</v>
      </c>
      <c r="P122">
        <v>103</v>
      </c>
    </row>
    <row r="123" spans="1:16" x14ac:dyDescent="0.25">
      <c r="A123">
        <f>Questionnaire!A124</f>
        <v>122</v>
      </c>
      <c r="B123" s="14" t="s">
        <v>32</v>
      </c>
      <c r="C123" s="9">
        <v>7.8E-2</v>
      </c>
      <c r="D123" s="6">
        <v>123</v>
      </c>
      <c r="E123" s="10">
        <v>5</v>
      </c>
      <c r="F123" s="10">
        <v>1.1000000000000001</v>
      </c>
      <c r="G123" s="10">
        <v>1</v>
      </c>
      <c r="H123" s="20">
        <v>3.5</v>
      </c>
      <c r="I123" s="12">
        <f>100.96/88.4</f>
        <v>1.1420814479638008</v>
      </c>
      <c r="J123" s="12">
        <f t="shared" si="2"/>
        <v>18.273303167420814</v>
      </c>
      <c r="K123" s="10">
        <v>4.0999999999999996</v>
      </c>
      <c r="L123" s="12">
        <f>(((140-Questionnaire!B124)*Questionnaire!Y124)/(72*Results!I123))*0.85</f>
        <v>61.277007395668257</v>
      </c>
      <c r="M123" s="12">
        <f t="shared" si="3"/>
        <v>6.7311311410459593</v>
      </c>
      <c r="N123">
        <v>143</v>
      </c>
      <c r="O123">
        <v>3.7</v>
      </c>
      <c r="P123">
        <v>107</v>
      </c>
    </row>
    <row r="124" spans="1:16" x14ac:dyDescent="0.25">
      <c r="A124">
        <f>Questionnaire!A125</f>
        <v>123</v>
      </c>
      <c r="B124" s="14" t="s">
        <v>11</v>
      </c>
      <c r="C124" s="9">
        <v>6.5000000000000002E-2</v>
      </c>
      <c r="D124" s="6">
        <v>5</v>
      </c>
      <c r="E124" s="10">
        <v>4</v>
      </c>
      <c r="F124" s="10">
        <v>1.2</v>
      </c>
      <c r="G124" s="10">
        <v>1</v>
      </c>
      <c r="H124" s="10">
        <v>2.5</v>
      </c>
      <c r="I124" s="12">
        <f>92.85/88.4</f>
        <v>1.0503393665158369</v>
      </c>
      <c r="J124" s="12">
        <f t="shared" si="2"/>
        <v>16.805429864253391</v>
      </c>
      <c r="K124" s="10">
        <v>8</v>
      </c>
      <c r="L124" s="12">
        <f>((140-Questionnaire!B125)*Questionnaire!Y125)/(72*Results!I124)</f>
        <v>51.636749835457437</v>
      </c>
      <c r="M124" s="12">
        <f t="shared" si="3"/>
        <v>0.2975228863758751</v>
      </c>
      <c r="N124">
        <v>139</v>
      </c>
      <c r="O124">
        <v>4</v>
      </c>
      <c r="P124">
        <v>102</v>
      </c>
    </row>
    <row r="125" spans="1:16" x14ac:dyDescent="0.25">
      <c r="A125">
        <f>Questionnaire!A126</f>
        <v>124</v>
      </c>
      <c r="B125" s="14" t="s">
        <v>32</v>
      </c>
      <c r="C125" s="9">
        <v>8.5000000000000006E-2</v>
      </c>
      <c r="D125" s="21">
        <v>4</v>
      </c>
      <c r="E125" s="10">
        <v>3</v>
      </c>
      <c r="F125" s="10">
        <v>0.9</v>
      </c>
      <c r="G125" s="10">
        <v>2</v>
      </c>
      <c r="H125" s="10">
        <v>1.9</v>
      </c>
      <c r="I125" s="12">
        <f>73.92/88.4</f>
        <v>0.83619909502262435</v>
      </c>
      <c r="J125" s="12">
        <f t="shared" si="2"/>
        <v>13.37918552036199</v>
      </c>
      <c r="K125" s="10">
        <v>4.0999999999999996</v>
      </c>
      <c r="L125" s="12">
        <f>(((140-Questionnaire!B126)*Questionnaire!Y126)/(72*Results!I125))*0.85</f>
        <v>99.391534391534407</v>
      </c>
      <c r="M125" s="12">
        <f t="shared" si="3"/>
        <v>0.2989718614718615</v>
      </c>
      <c r="N125">
        <v>143</v>
      </c>
      <c r="O125">
        <v>4.2</v>
      </c>
      <c r="P125">
        <v>105</v>
      </c>
    </row>
    <row r="126" spans="1:16" x14ac:dyDescent="0.25">
      <c r="A126">
        <f>Questionnaire!A127</f>
        <v>125</v>
      </c>
      <c r="B126" s="14" t="s">
        <v>32</v>
      </c>
      <c r="C126" s="9">
        <v>6.3E-2</v>
      </c>
      <c r="D126" s="6">
        <v>14</v>
      </c>
      <c r="E126" s="10">
        <v>7</v>
      </c>
      <c r="F126" s="10">
        <v>1.5</v>
      </c>
      <c r="G126" s="10">
        <v>1</v>
      </c>
      <c r="H126" s="10">
        <v>2.8</v>
      </c>
      <c r="I126" s="12">
        <f>69.41/88.4</f>
        <v>0.785180995475113</v>
      </c>
      <c r="J126" s="12">
        <f t="shared" si="2"/>
        <v>12.562895927601808</v>
      </c>
      <c r="K126" s="10">
        <v>3.7</v>
      </c>
      <c r="L126" s="12">
        <f>(((140-Questionnaire!B127)*Questionnaire!Y127)/(72*Results!I126))*0.85</f>
        <v>68.982679408986868</v>
      </c>
      <c r="M126" s="12">
        <f t="shared" si="3"/>
        <v>1.1143927387984442</v>
      </c>
      <c r="N126">
        <v>146</v>
      </c>
      <c r="O126">
        <v>4.2</v>
      </c>
      <c r="P126">
        <v>103</v>
      </c>
    </row>
    <row r="127" spans="1:16" x14ac:dyDescent="0.25">
      <c r="A127">
        <f>Questionnaire!A128</f>
        <v>126</v>
      </c>
      <c r="B127" s="14" t="s">
        <v>32</v>
      </c>
      <c r="C127" s="9">
        <v>5.8000000000000003E-2</v>
      </c>
      <c r="D127" s="21">
        <v>4</v>
      </c>
      <c r="E127" s="10">
        <v>6</v>
      </c>
      <c r="F127" s="10">
        <v>1.7</v>
      </c>
      <c r="G127" s="10">
        <v>2</v>
      </c>
      <c r="H127" s="10">
        <v>3.2</v>
      </c>
      <c r="I127" s="12">
        <f>89.25/88.4</f>
        <v>1.0096153846153846</v>
      </c>
      <c r="J127" s="12">
        <f t="shared" si="2"/>
        <v>16.153846153846153</v>
      </c>
      <c r="K127" s="10">
        <v>6.2</v>
      </c>
      <c r="L127" s="12">
        <f>(((140-Questionnaire!B128)*Questionnaire!Y128)/(72*Results!I127))*0.85</f>
        <v>59.751851851851846</v>
      </c>
      <c r="M127" s="12">
        <f t="shared" si="3"/>
        <v>0.24761904761904763</v>
      </c>
      <c r="N127">
        <v>137</v>
      </c>
      <c r="O127">
        <v>5.5</v>
      </c>
      <c r="P127">
        <v>101</v>
      </c>
    </row>
    <row r="128" spans="1:16" x14ac:dyDescent="0.25">
      <c r="A128">
        <f>Questionnaire!A129</f>
        <v>127</v>
      </c>
      <c r="B128" s="14" t="s">
        <v>32</v>
      </c>
      <c r="C128" s="9">
        <v>5.8000000000000003E-2</v>
      </c>
      <c r="D128" s="6">
        <v>16</v>
      </c>
      <c r="E128" s="10">
        <v>5</v>
      </c>
      <c r="F128" s="10">
        <v>1.5</v>
      </c>
      <c r="G128" s="10">
        <v>1</v>
      </c>
      <c r="H128" s="10">
        <v>2.8</v>
      </c>
      <c r="I128" s="12">
        <f>73.02/88.4</f>
        <v>0.82601809954751126</v>
      </c>
      <c r="J128" s="12">
        <f t="shared" si="2"/>
        <v>13.21628959276018</v>
      </c>
      <c r="K128" s="10">
        <v>3.1</v>
      </c>
      <c r="L128" s="12">
        <f>(((140-Questionnaire!B129)*Questionnaire!Y129)/(72*Results!I128))*0.85</f>
        <v>82.322651328403182</v>
      </c>
      <c r="M128" s="12">
        <f t="shared" si="3"/>
        <v>1.2106272254176937</v>
      </c>
      <c r="N128">
        <v>136</v>
      </c>
      <c r="O128">
        <v>4</v>
      </c>
      <c r="P128">
        <v>99</v>
      </c>
    </row>
    <row r="129" spans="1:16" x14ac:dyDescent="0.25">
      <c r="A129">
        <f>Questionnaire!A130</f>
        <v>128</v>
      </c>
      <c r="B129" s="14" t="s">
        <v>32</v>
      </c>
      <c r="C129" s="9">
        <v>0.111</v>
      </c>
      <c r="D129" s="21">
        <v>4</v>
      </c>
      <c r="E129" s="10">
        <v>3</v>
      </c>
      <c r="F129" s="10">
        <v>1.3</v>
      </c>
      <c r="G129" s="10">
        <v>2</v>
      </c>
      <c r="H129" s="10">
        <v>2.2999999999999998</v>
      </c>
      <c r="I129" s="12">
        <f>77.53/88.4</f>
        <v>0.87703619909502262</v>
      </c>
      <c r="J129" s="12">
        <f t="shared" si="2"/>
        <v>14.032579185520362</v>
      </c>
      <c r="K129" s="10">
        <v>3.7</v>
      </c>
      <c r="L129" s="12">
        <f>(((140-Questionnaire!B130)*Questionnaire!Y130)/(72*Results!I129))*0.85</f>
        <v>97.644202244292529</v>
      </c>
      <c r="M129" s="12">
        <f t="shared" si="3"/>
        <v>0.28505094802012126</v>
      </c>
      <c r="N129">
        <v>137</v>
      </c>
      <c r="O129">
        <v>5</v>
      </c>
      <c r="P129">
        <v>101</v>
      </c>
    </row>
    <row r="130" spans="1:16" x14ac:dyDescent="0.25">
      <c r="A130">
        <f>Questionnaire!A131</f>
        <v>129</v>
      </c>
      <c r="B130" s="14" t="s">
        <v>32</v>
      </c>
      <c r="C130" s="9">
        <v>4.8000000000000001E-2</v>
      </c>
      <c r="D130" s="6">
        <v>53</v>
      </c>
      <c r="E130" s="10">
        <v>5</v>
      </c>
      <c r="F130" s="10">
        <v>1.6</v>
      </c>
      <c r="G130" s="10">
        <v>2</v>
      </c>
      <c r="H130" s="10">
        <v>2.2999999999999998</v>
      </c>
      <c r="I130" s="12">
        <f>113.58/88.4</f>
        <v>1.2848416289592759</v>
      </c>
      <c r="J130" s="12">
        <f t="shared" si="2"/>
        <v>20.557466063348414</v>
      </c>
      <c r="K130" s="10">
        <v>4.9000000000000004</v>
      </c>
      <c r="L130" s="12">
        <f>(((140-Questionnaire!B131)*Questionnaire!Y131)/(72*Results!I130))*0.85</f>
        <v>44.940147424233537</v>
      </c>
      <c r="M130" s="12">
        <f t="shared" si="3"/>
        <v>2.5781387568233844</v>
      </c>
      <c r="N130">
        <v>144</v>
      </c>
      <c r="O130">
        <v>4.0999999999999996</v>
      </c>
      <c r="P130">
        <v>106</v>
      </c>
    </row>
    <row r="131" spans="1:16" x14ac:dyDescent="0.25">
      <c r="A131">
        <f>Questionnaire!A132</f>
        <v>130</v>
      </c>
      <c r="B131" s="55" t="s">
        <v>11</v>
      </c>
      <c r="C131" s="9">
        <v>6.8000000000000005E-2</v>
      </c>
      <c r="D131" s="6">
        <v>24</v>
      </c>
      <c r="E131" s="10">
        <v>6</v>
      </c>
      <c r="F131" s="10">
        <v>18</v>
      </c>
      <c r="G131" s="10">
        <v>2</v>
      </c>
      <c r="H131" s="10">
        <v>3</v>
      </c>
      <c r="I131" s="12">
        <f>170/88.4</f>
        <v>1.9230769230769229</v>
      </c>
      <c r="J131" s="12">
        <f t="shared" ref="J131:J194" si="4">I131*16</f>
        <v>30.769230769230766</v>
      </c>
      <c r="K131" s="10">
        <v>7</v>
      </c>
      <c r="L131" s="12">
        <f>(((140-Questionnaire!B132)*Questionnaire!Y132)/(72*Results!I131))*0.85</f>
        <v>31.308333333333334</v>
      </c>
      <c r="M131" s="12">
        <f t="shared" ref="M131:M194" si="5">D131/J131</f>
        <v>0.78</v>
      </c>
      <c r="N131">
        <v>138</v>
      </c>
      <c r="O131">
        <v>4</v>
      </c>
      <c r="P131">
        <v>98</v>
      </c>
    </row>
    <row r="132" spans="1:16" x14ac:dyDescent="0.25">
      <c r="A132">
        <f>Questionnaire!A133</f>
        <v>131</v>
      </c>
      <c r="B132" s="14" t="s">
        <v>32</v>
      </c>
      <c r="C132" s="9">
        <v>7.5999999999999998E-2</v>
      </c>
      <c r="D132" s="21">
        <v>4</v>
      </c>
      <c r="E132" s="10">
        <v>6</v>
      </c>
      <c r="F132" s="10">
        <v>1.5</v>
      </c>
      <c r="G132" s="10">
        <v>3</v>
      </c>
      <c r="H132" s="10">
        <v>2</v>
      </c>
      <c r="I132" s="12">
        <f>101.87/88.4</f>
        <v>1.1523755656108596</v>
      </c>
      <c r="J132" s="12">
        <f t="shared" si="4"/>
        <v>18.438009049773754</v>
      </c>
      <c r="K132" s="10">
        <v>6.5</v>
      </c>
      <c r="L132" s="12">
        <f>(((140-Questionnaire!B133)*Questionnaire!Y133)/(72*Results!I132))*0.85</f>
        <v>47.1146313929518</v>
      </c>
      <c r="M132" s="12">
        <f t="shared" si="5"/>
        <v>0.21694316285461865</v>
      </c>
      <c r="N132">
        <v>143</v>
      </c>
      <c r="O132">
        <v>3.8</v>
      </c>
      <c r="P132">
        <v>102</v>
      </c>
    </row>
    <row r="133" spans="1:16" x14ac:dyDescent="0.25">
      <c r="A133">
        <f>Questionnaire!A134</f>
        <v>132</v>
      </c>
      <c r="B133" s="14" t="s">
        <v>32</v>
      </c>
      <c r="C133" s="9">
        <v>8.5999999999999993E-2</v>
      </c>
      <c r="D133" s="6">
        <v>7</v>
      </c>
      <c r="E133" s="10">
        <v>5</v>
      </c>
      <c r="F133" s="10">
        <v>1.3</v>
      </c>
      <c r="G133" s="10">
        <v>1</v>
      </c>
      <c r="H133" s="10">
        <v>3.3</v>
      </c>
      <c r="I133" s="12">
        <f>68.51/88.4</f>
        <v>0.77500000000000002</v>
      </c>
      <c r="J133" s="12">
        <f t="shared" si="4"/>
        <v>12.4</v>
      </c>
      <c r="K133" s="10">
        <v>4.0999999999999996</v>
      </c>
      <c r="L133" s="12">
        <f>(((140-Questionnaire!B134)*Questionnaire!Y134)/(72*Results!I133))*0.85</f>
        <v>60.170250896057347</v>
      </c>
      <c r="M133" s="12">
        <f t="shared" si="5"/>
        <v>0.56451612903225801</v>
      </c>
      <c r="N133">
        <v>146</v>
      </c>
      <c r="O133">
        <v>4</v>
      </c>
      <c r="P133">
        <v>102</v>
      </c>
    </row>
    <row r="134" spans="1:16" x14ac:dyDescent="0.25">
      <c r="A134">
        <f>Questionnaire!A135</f>
        <v>133</v>
      </c>
      <c r="B134" s="14" t="s">
        <v>32</v>
      </c>
      <c r="C134" s="9">
        <v>0.129</v>
      </c>
      <c r="D134" s="6">
        <v>26</v>
      </c>
      <c r="E134" s="10">
        <v>5</v>
      </c>
      <c r="F134" s="10">
        <v>1.2</v>
      </c>
      <c r="G134" s="10">
        <v>3</v>
      </c>
      <c r="H134" s="10">
        <v>2.5</v>
      </c>
      <c r="I134" s="12">
        <f>86.54/88.4</f>
        <v>0.97895927601809951</v>
      </c>
      <c r="J134" s="12">
        <f t="shared" si="4"/>
        <v>15.663348416289592</v>
      </c>
      <c r="K134" s="10">
        <v>4.9000000000000004</v>
      </c>
      <c r="L134" s="12">
        <f>(((140-Questionnaire!B135)*Questionnaire!Y135)/(72*Results!I134))*0.85</f>
        <v>60.778830598567133</v>
      </c>
      <c r="M134" s="12">
        <f t="shared" si="5"/>
        <v>1.6599260457591867</v>
      </c>
      <c r="N134">
        <v>142</v>
      </c>
      <c r="O134">
        <v>3.7</v>
      </c>
      <c r="P134">
        <v>101</v>
      </c>
    </row>
    <row r="135" spans="1:16" x14ac:dyDescent="0.25">
      <c r="A135">
        <f>Questionnaire!A136</f>
        <v>134</v>
      </c>
      <c r="B135" s="14" t="s">
        <v>11</v>
      </c>
      <c r="C135" s="9">
        <v>6.4000000000000001E-2</v>
      </c>
      <c r="D135" s="21">
        <v>4</v>
      </c>
      <c r="E135" s="10">
        <v>4</v>
      </c>
      <c r="F135" s="10">
        <v>1.1000000000000001</v>
      </c>
      <c r="G135" s="10">
        <v>1</v>
      </c>
      <c r="H135" s="10">
        <v>2.6</v>
      </c>
      <c r="I135" s="12">
        <v>1.3</v>
      </c>
      <c r="J135" s="12">
        <f t="shared" si="4"/>
        <v>20.8</v>
      </c>
      <c r="K135" s="10">
        <v>4.9000000000000004</v>
      </c>
      <c r="L135" s="12">
        <f>((140-Questionnaire!B136)*Questionnaire!Y136)/(72*Results!I135)</f>
        <v>97.307692307692292</v>
      </c>
      <c r="M135" s="12">
        <f t="shared" si="5"/>
        <v>0.19230769230769229</v>
      </c>
      <c r="N135">
        <v>144</v>
      </c>
      <c r="O135">
        <v>4.4000000000000004</v>
      </c>
      <c r="P135">
        <v>107</v>
      </c>
    </row>
    <row r="136" spans="1:16" x14ac:dyDescent="0.25">
      <c r="A136">
        <f>Questionnaire!A137</f>
        <v>135</v>
      </c>
      <c r="B136" s="14" t="s">
        <v>62</v>
      </c>
      <c r="C136" s="9">
        <v>5.8999999999999997E-2</v>
      </c>
      <c r="D136" s="6">
        <v>9</v>
      </c>
      <c r="E136" s="10">
        <v>7</v>
      </c>
      <c r="F136" s="10">
        <v>1.2</v>
      </c>
      <c r="G136" s="10">
        <v>4</v>
      </c>
      <c r="H136" s="10">
        <v>4</v>
      </c>
      <c r="I136" s="12">
        <f>69.41/88.4</f>
        <v>0.785180995475113</v>
      </c>
      <c r="J136" s="12">
        <f t="shared" si="4"/>
        <v>12.562895927601808</v>
      </c>
      <c r="K136" s="10">
        <v>3</v>
      </c>
      <c r="L136" s="12">
        <f>(((140-Questionnaire!B137)*Questionnaire!Y137)/(72*Results!I136))*0.85</f>
        <v>62.367078070723089</v>
      </c>
      <c r="M136" s="12">
        <f t="shared" si="5"/>
        <v>0.71639533208471418</v>
      </c>
      <c r="N136">
        <v>139</v>
      </c>
      <c r="O136">
        <v>4.4000000000000004</v>
      </c>
      <c r="P136">
        <v>9.8000000000000007</v>
      </c>
    </row>
    <row r="137" spans="1:16" x14ac:dyDescent="0.25">
      <c r="A137">
        <f>Questionnaire!A138</f>
        <v>136</v>
      </c>
      <c r="B137" s="14" t="s">
        <v>11</v>
      </c>
      <c r="C137" s="9">
        <v>6.9000000000000006E-2</v>
      </c>
      <c r="D137" s="6">
        <v>16</v>
      </c>
      <c r="E137" s="10">
        <v>5</v>
      </c>
      <c r="F137" s="10">
        <v>1.6</v>
      </c>
      <c r="G137" s="10">
        <v>2</v>
      </c>
      <c r="H137" s="10">
        <v>3.5</v>
      </c>
      <c r="I137" s="12">
        <f>126.21/88.4</f>
        <v>1.4277149321266966</v>
      </c>
      <c r="J137" s="12">
        <f t="shared" si="4"/>
        <v>22.843438914027146</v>
      </c>
      <c r="K137" s="10">
        <v>6</v>
      </c>
      <c r="L137" s="12">
        <f>((140-Questionnaire!B138)*Questionnaire!Y138)/(72*Results!I137)</f>
        <v>59.82753611705359</v>
      </c>
      <c r="M137" s="12">
        <f t="shared" si="5"/>
        <v>0.70041993502892019</v>
      </c>
      <c r="N137">
        <v>143</v>
      </c>
      <c r="O137">
        <v>5.0999999999999996</v>
      </c>
      <c r="P137">
        <v>104</v>
      </c>
    </row>
    <row r="138" spans="1:16" x14ac:dyDescent="0.25">
      <c r="A138">
        <f>Questionnaire!A139</f>
        <v>137</v>
      </c>
      <c r="B138" s="14" t="s">
        <v>11</v>
      </c>
      <c r="C138" s="9">
        <v>9.2999999999999999E-2</v>
      </c>
      <c r="D138" s="21">
        <v>160</v>
      </c>
      <c r="E138" s="10">
        <v>4</v>
      </c>
      <c r="F138" s="10">
        <v>1.2</v>
      </c>
      <c r="G138" s="10">
        <v>1</v>
      </c>
      <c r="H138" s="10">
        <v>2.4</v>
      </c>
      <c r="I138" s="12">
        <f>283.06/88.4</f>
        <v>3.2020361990950224</v>
      </c>
      <c r="J138" s="12">
        <f t="shared" si="4"/>
        <v>51.232579185520358</v>
      </c>
      <c r="K138" s="10">
        <v>16.399999999999999</v>
      </c>
      <c r="L138" s="12">
        <f>((140-Questionnaire!B139)*Questionnaire!Y139)/(72*Results!I138)</f>
        <v>21.236486963894581</v>
      </c>
      <c r="M138" s="12">
        <f t="shared" si="5"/>
        <v>3.123012788808027</v>
      </c>
      <c r="N138">
        <v>143</v>
      </c>
      <c r="O138">
        <v>4.5</v>
      </c>
      <c r="P138">
        <v>108</v>
      </c>
    </row>
    <row r="139" spans="1:16" x14ac:dyDescent="0.25">
      <c r="A139">
        <f>Questionnaire!A140</f>
        <v>138</v>
      </c>
      <c r="B139" s="14" t="s">
        <v>11</v>
      </c>
      <c r="C139" s="9">
        <v>0.12</v>
      </c>
      <c r="D139" s="6">
        <v>84</v>
      </c>
      <c r="E139" s="10">
        <v>3</v>
      </c>
      <c r="F139" s="10">
        <v>1.1000000000000001</v>
      </c>
      <c r="G139" s="10">
        <v>1</v>
      </c>
      <c r="H139" s="10">
        <v>1.5</v>
      </c>
      <c r="I139" s="12">
        <f>101.87/88.4</f>
        <v>1.1523755656108596</v>
      </c>
      <c r="J139" s="12">
        <f t="shared" si="4"/>
        <v>18.438009049773754</v>
      </c>
      <c r="K139" s="10">
        <v>6.8</v>
      </c>
      <c r="L139" s="12">
        <f>((140-Questionnaire!B140)*Questionnaire!Y140)/(72*Results!I139)</f>
        <v>64.486355158535389</v>
      </c>
      <c r="M139" s="12">
        <f t="shared" si="5"/>
        <v>4.5558064199469914</v>
      </c>
      <c r="N139">
        <v>140</v>
      </c>
      <c r="O139">
        <v>3.7</v>
      </c>
      <c r="P139">
        <v>94</v>
      </c>
    </row>
    <row r="140" spans="1:16" x14ac:dyDescent="0.25">
      <c r="A140">
        <f>Questionnaire!A141</f>
        <v>139</v>
      </c>
      <c r="B140" s="14" t="s">
        <v>11</v>
      </c>
      <c r="C140" s="9">
        <v>0.08</v>
      </c>
      <c r="D140" s="21">
        <v>4</v>
      </c>
      <c r="E140" s="10">
        <v>3</v>
      </c>
      <c r="F140" s="10">
        <v>1</v>
      </c>
      <c r="G140" s="10">
        <v>2</v>
      </c>
      <c r="H140" s="10">
        <v>1.1000000000000001</v>
      </c>
      <c r="I140" s="12">
        <f>87.44/88.4</f>
        <v>0.9891402714932126</v>
      </c>
      <c r="J140" s="12">
        <f t="shared" si="4"/>
        <v>15.826244343891402</v>
      </c>
      <c r="K140" s="10">
        <v>2.6</v>
      </c>
      <c r="L140" s="12">
        <f>((140-Questionnaire!B141)*Questionnaire!Y141)/(72*Results!I140)</f>
        <v>93.094312290332439</v>
      </c>
      <c r="M140" s="12">
        <f t="shared" si="5"/>
        <v>0.25274473924977131</v>
      </c>
      <c r="N140">
        <v>143</v>
      </c>
      <c r="O140">
        <v>3.5</v>
      </c>
      <c r="P140">
        <v>101</v>
      </c>
    </row>
    <row r="141" spans="1:16" x14ac:dyDescent="0.25">
      <c r="A141">
        <f>Questionnaire!A142</f>
        <v>140</v>
      </c>
      <c r="B141" s="14" t="s">
        <v>32</v>
      </c>
      <c r="C141" s="9">
        <v>7.5999999999999998E-2</v>
      </c>
      <c r="D141" s="21">
        <v>4</v>
      </c>
      <c r="E141" s="10">
        <v>6</v>
      </c>
      <c r="F141" s="10">
        <v>1.1000000000000001</v>
      </c>
      <c r="G141" s="10">
        <v>3</v>
      </c>
      <c r="H141" s="10">
        <v>3.6</v>
      </c>
      <c r="I141" s="12">
        <f>114.49/88.4</f>
        <v>1.2951357466063347</v>
      </c>
      <c r="J141" s="12">
        <f t="shared" si="4"/>
        <v>20.722171945701355</v>
      </c>
      <c r="K141" s="10">
        <v>4.4000000000000004</v>
      </c>
      <c r="L141" s="12">
        <f>(((140-Questionnaire!B142)*Questionnaire!Y142)/(72*Results!I141))*0.85</f>
        <v>62.895594957347079</v>
      </c>
      <c r="M141" s="12">
        <f t="shared" si="5"/>
        <v>0.19302995894837979</v>
      </c>
      <c r="N141">
        <v>143</v>
      </c>
      <c r="O141">
        <v>4.0999999999999996</v>
      </c>
      <c r="P141">
        <v>101</v>
      </c>
    </row>
    <row r="142" spans="1:16" x14ac:dyDescent="0.25">
      <c r="A142">
        <f>Questionnaire!A143</f>
        <v>141</v>
      </c>
      <c r="B142" s="14" t="s">
        <v>32</v>
      </c>
      <c r="C142" s="9">
        <v>0.10299999999999999</v>
      </c>
      <c r="D142" s="6">
        <v>110</v>
      </c>
      <c r="E142" s="10">
        <v>5</v>
      </c>
      <c r="F142" s="10">
        <v>1.5</v>
      </c>
      <c r="G142" s="10">
        <v>2</v>
      </c>
      <c r="H142" s="10">
        <v>2.6</v>
      </c>
      <c r="I142" s="12">
        <f>77.53/88.4</f>
        <v>0.87703619909502262</v>
      </c>
      <c r="J142" s="12">
        <f t="shared" si="4"/>
        <v>14.032579185520362</v>
      </c>
      <c r="K142" s="10">
        <v>4.5</v>
      </c>
      <c r="L142" s="12">
        <f>(((140-Questionnaire!B143)*Questionnaire!Y143)/(72*Results!I142))*0.85</f>
        <v>55.996675122174921</v>
      </c>
      <c r="M142" s="12">
        <f t="shared" si="5"/>
        <v>7.8389010705533346</v>
      </c>
      <c r="N142">
        <v>141</v>
      </c>
      <c r="O142">
        <v>4.0999999999999996</v>
      </c>
      <c r="P142">
        <v>102</v>
      </c>
    </row>
    <row r="143" spans="1:16" x14ac:dyDescent="0.25">
      <c r="A143">
        <f>Questionnaire!A144</f>
        <v>142</v>
      </c>
      <c r="B143" s="14" t="s">
        <v>32</v>
      </c>
      <c r="C143" s="9">
        <v>5.0999999999999997E-2</v>
      </c>
      <c r="D143" s="6">
        <v>12</v>
      </c>
      <c r="E143" s="10">
        <v>4</v>
      </c>
      <c r="F143" s="10">
        <v>1.4</v>
      </c>
      <c r="G143" s="10">
        <v>1</v>
      </c>
      <c r="H143" s="10">
        <v>2.2000000000000002</v>
      </c>
      <c r="I143" s="12">
        <f>80.23/88.4</f>
        <v>0.90757918552036199</v>
      </c>
      <c r="J143" s="12">
        <f t="shared" si="4"/>
        <v>14.521266968325792</v>
      </c>
      <c r="K143" s="10">
        <v>2.9</v>
      </c>
      <c r="L143" s="12">
        <f>(((140-Questionnaire!B144)*Questionnaire!Y144)/(72*Results!I143))*0.85</f>
        <v>50.079805282036361</v>
      </c>
      <c r="M143" s="12">
        <f t="shared" si="5"/>
        <v>0.82637417424903403</v>
      </c>
      <c r="N143">
        <v>136</v>
      </c>
      <c r="O143">
        <v>4</v>
      </c>
      <c r="P143">
        <v>95</v>
      </c>
    </row>
    <row r="144" spans="1:16" x14ac:dyDescent="0.25">
      <c r="A144">
        <f>Questionnaire!A145</f>
        <v>143</v>
      </c>
      <c r="B144" s="14" t="s">
        <v>11</v>
      </c>
      <c r="C144" s="9">
        <v>9.7000000000000003E-2</v>
      </c>
      <c r="D144" s="6">
        <v>76</v>
      </c>
      <c r="E144" s="10">
        <v>3</v>
      </c>
      <c r="F144" s="10">
        <v>0.9</v>
      </c>
      <c r="G144" s="10">
        <v>2</v>
      </c>
      <c r="H144" s="10">
        <v>1.2</v>
      </c>
      <c r="I144" s="12">
        <f>161.36/88.4</f>
        <v>1.8253393665158371</v>
      </c>
      <c r="J144" s="12">
        <f t="shared" si="4"/>
        <v>29.205429864253393</v>
      </c>
      <c r="K144" s="10">
        <v>9</v>
      </c>
      <c r="L144" s="12">
        <f>((140-Questionnaire!B145)*Questionnaire!Y145)/(72*Results!I144)</f>
        <v>50.979865586955327</v>
      </c>
      <c r="M144" s="12">
        <f t="shared" si="5"/>
        <v>2.6022558254833914</v>
      </c>
      <c r="N144">
        <v>143</v>
      </c>
      <c r="O144">
        <v>4.5999999999999996</v>
      </c>
      <c r="P144">
        <v>98</v>
      </c>
    </row>
    <row r="145" spans="1:16" x14ac:dyDescent="0.25">
      <c r="A145">
        <f>Questionnaire!A146</f>
        <v>144</v>
      </c>
      <c r="B145" s="14" t="s">
        <v>32</v>
      </c>
      <c r="C145" s="9">
        <v>8.7999999999999995E-2</v>
      </c>
      <c r="D145" s="6">
        <v>160</v>
      </c>
      <c r="E145" s="10">
        <v>4</v>
      </c>
      <c r="F145" s="10">
        <v>1.1000000000000001</v>
      </c>
      <c r="G145" s="10">
        <v>2</v>
      </c>
      <c r="H145" s="10">
        <v>2.1</v>
      </c>
      <c r="I145" s="12">
        <f>118.99/88.4</f>
        <v>1.3460407239819003</v>
      </c>
      <c r="J145" s="12">
        <f t="shared" si="4"/>
        <v>21.536651583710405</v>
      </c>
      <c r="K145" s="10">
        <v>6</v>
      </c>
      <c r="L145" s="12">
        <f>(((140-Questionnaire!B146)*Questionnaire!Y146)/(72*Results!I145))*0.85</f>
        <v>29.451601908657125</v>
      </c>
      <c r="M145" s="12">
        <f t="shared" si="5"/>
        <v>7.4291957307336753</v>
      </c>
      <c r="N145">
        <v>141</v>
      </c>
      <c r="O145">
        <v>3.5</v>
      </c>
      <c r="P145">
        <v>103</v>
      </c>
    </row>
    <row r="146" spans="1:16" x14ac:dyDescent="0.25">
      <c r="A146">
        <f>Questionnaire!A147</f>
        <v>145</v>
      </c>
      <c r="B146" s="14" t="s">
        <v>11</v>
      </c>
      <c r="C146" s="9">
        <v>8.3000000000000004E-2</v>
      </c>
      <c r="D146" s="21">
        <v>160</v>
      </c>
      <c r="E146" s="10">
        <v>5</v>
      </c>
      <c r="F146" s="10">
        <v>1.4</v>
      </c>
      <c r="G146" s="10">
        <v>1</v>
      </c>
      <c r="H146" s="10">
        <v>3.2</v>
      </c>
      <c r="I146" s="12">
        <f>137.02/88.4</f>
        <v>1.55</v>
      </c>
      <c r="J146" s="12">
        <f t="shared" si="4"/>
        <v>24.8</v>
      </c>
      <c r="K146" s="10">
        <v>8.8000000000000007</v>
      </c>
      <c r="L146" s="12">
        <f>((140-Questionnaire!B147)*Questionnaire!Y147)/(72*Results!I146)</f>
        <v>39.901433691756267</v>
      </c>
      <c r="M146" s="12">
        <f t="shared" si="5"/>
        <v>6.4516129032258061</v>
      </c>
      <c r="N146">
        <v>143</v>
      </c>
      <c r="O146">
        <v>4.4000000000000004</v>
      </c>
      <c r="P146">
        <v>104</v>
      </c>
    </row>
    <row r="147" spans="1:16" x14ac:dyDescent="0.25">
      <c r="A147">
        <f>Questionnaire!A148</f>
        <v>146</v>
      </c>
      <c r="B147" s="14" t="s">
        <v>32</v>
      </c>
      <c r="C147" s="9">
        <v>7.0000000000000007E-2</v>
      </c>
      <c r="D147" s="6">
        <v>11</v>
      </c>
      <c r="E147" s="10">
        <v>5</v>
      </c>
      <c r="F147" s="10">
        <v>1.8</v>
      </c>
      <c r="G147" s="10">
        <v>2</v>
      </c>
      <c r="H147" s="10">
        <v>2.4</v>
      </c>
      <c r="I147" s="12">
        <f>85.64/88.4</f>
        <v>0.96877828054298631</v>
      </c>
      <c r="J147" s="12">
        <f t="shared" si="4"/>
        <v>15.500452488687781</v>
      </c>
      <c r="K147" s="10">
        <v>5.2</v>
      </c>
      <c r="L147" s="12">
        <f>(((140-Questionnaire!B148)*Questionnaire!Y148)/(72*Results!I147))*0.85</f>
        <v>62.148723338004054</v>
      </c>
      <c r="M147" s="12">
        <f t="shared" si="5"/>
        <v>0.70965670247547885</v>
      </c>
      <c r="N147">
        <v>133</v>
      </c>
      <c r="O147">
        <v>3.7</v>
      </c>
      <c r="P147">
        <v>87</v>
      </c>
    </row>
    <row r="148" spans="1:16" x14ac:dyDescent="0.25">
      <c r="A148">
        <f>Questionnaire!A149</f>
        <v>147</v>
      </c>
      <c r="B148" s="14" t="s">
        <v>11</v>
      </c>
      <c r="C148" s="9">
        <v>6.8000000000000005E-2</v>
      </c>
      <c r="D148" s="6">
        <v>141</v>
      </c>
      <c r="E148" s="10">
        <v>4</v>
      </c>
      <c r="F148" s="10">
        <v>1</v>
      </c>
      <c r="G148" s="10">
        <v>3</v>
      </c>
      <c r="H148" s="10">
        <v>1.7</v>
      </c>
      <c r="I148" s="12">
        <f>101.87/88.4</f>
        <v>1.1523755656108596</v>
      </c>
      <c r="J148" s="12">
        <f t="shared" si="4"/>
        <v>18.438009049773754</v>
      </c>
      <c r="K148" s="10">
        <v>3.2</v>
      </c>
      <c r="L148" s="12">
        <f>((140-Questionnaire!B149)*Questionnaire!Y149)/(72*Results!I148)</f>
        <v>69.614650480459844</v>
      </c>
      <c r="M148" s="12">
        <f t="shared" si="5"/>
        <v>7.6472464906253075</v>
      </c>
      <c r="N148">
        <v>137</v>
      </c>
      <c r="O148">
        <v>4</v>
      </c>
      <c r="P148">
        <v>97</v>
      </c>
    </row>
    <row r="149" spans="1:16" x14ac:dyDescent="0.25">
      <c r="A149">
        <f>Questionnaire!A150</f>
        <v>148</v>
      </c>
      <c r="B149" s="14" t="s">
        <v>11</v>
      </c>
      <c r="C149" s="9">
        <v>8.5999999999999993E-2</v>
      </c>
      <c r="D149" s="6">
        <v>36</v>
      </c>
      <c r="E149" s="10">
        <v>3</v>
      </c>
      <c r="F149" s="10">
        <v>1.5</v>
      </c>
      <c r="G149" s="10">
        <v>1</v>
      </c>
      <c r="H149" s="10">
        <v>1.1000000000000001</v>
      </c>
      <c r="I149" s="12">
        <f>98.26/88.4</f>
        <v>1.1115384615384616</v>
      </c>
      <c r="J149" s="12">
        <f t="shared" si="4"/>
        <v>17.784615384615385</v>
      </c>
      <c r="K149" s="10">
        <v>6.1</v>
      </c>
      <c r="L149" s="12">
        <f>((140-Questionnaire!B150)*Questionnaire!Y150)/(72*Results!I149)</f>
        <v>53.179546328335249</v>
      </c>
      <c r="M149" s="12">
        <f t="shared" si="5"/>
        <v>2.0242214532871969</v>
      </c>
      <c r="N149">
        <v>139</v>
      </c>
      <c r="O149">
        <v>4.2</v>
      </c>
      <c r="P149">
        <v>99</v>
      </c>
    </row>
    <row r="150" spans="1:16" x14ac:dyDescent="0.25">
      <c r="A150">
        <f>Questionnaire!A151</f>
        <v>149</v>
      </c>
      <c r="B150" s="14" t="s">
        <v>32</v>
      </c>
      <c r="C150" s="9">
        <v>9.1999999999999998E-2</v>
      </c>
      <c r="D150" s="6">
        <v>38</v>
      </c>
      <c r="E150" s="10">
        <v>5</v>
      </c>
      <c r="F150" s="10">
        <v>2.8</v>
      </c>
      <c r="G150" s="10">
        <v>1</v>
      </c>
      <c r="H150" s="10">
        <v>1.9</v>
      </c>
      <c r="I150" s="12">
        <f>71.22/88.4</f>
        <v>0.80565610859728498</v>
      </c>
      <c r="J150" s="12">
        <f t="shared" si="4"/>
        <v>12.89049773755656</v>
      </c>
      <c r="K150" s="10">
        <v>4.9000000000000004</v>
      </c>
      <c r="L150" s="12">
        <f>(((140-Questionnaire!B151)*Questionnaire!Y151)/(72*Results!I150))*0.85</f>
        <v>73.720970233080607</v>
      </c>
      <c r="M150" s="12">
        <f t="shared" si="5"/>
        <v>2.9479078910418424</v>
      </c>
      <c r="N150">
        <v>142</v>
      </c>
      <c r="O150">
        <v>4.5</v>
      </c>
      <c r="P150">
        <v>98</v>
      </c>
    </row>
    <row r="151" spans="1:16" x14ac:dyDescent="0.25">
      <c r="A151">
        <f>Questionnaire!A152</f>
        <v>150</v>
      </c>
      <c r="B151" s="14" t="s">
        <v>32</v>
      </c>
      <c r="C151" s="9">
        <v>9.5000000000000001E-2</v>
      </c>
      <c r="D151" s="6">
        <v>18</v>
      </c>
      <c r="E151" s="10">
        <v>6</v>
      </c>
      <c r="F151" s="10">
        <v>1.5</v>
      </c>
      <c r="G151" s="10">
        <v>1</v>
      </c>
      <c r="H151" s="10">
        <v>4.0999999999999996</v>
      </c>
      <c r="I151" s="12">
        <f>92.85/88.4</f>
        <v>1.0503393665158369</v>
      </c>
      <c r="J151" s="12">
        <f t="shared" si="4"/>
        <v>16.805429864253391</v>
      </c>
      <c r="K151" s="10">
        <v>4.3</v>
      </c>
      <c r="L151" s="12">
        <f>(((140-Questionnaire!B152)*Questionnaire!Y152)/(72*Results!I151))*0.85</f>
        <v>81.533171782444811</v>
      </c>
      <c r="M151" s="12">
        <f t="shared" si="5"/>
        <v>1.0710823909531504</v>
      </c>
      <c r="N151">
        <v>143</v>
      </c>
      <c r="O151">
        <v>4.3</v>
      </c>
      <c r="P151">
        <v>103</v>
      </c>
    </row>
    <row r="152" spans="1:16" x14ac:dyDescent="0.25">
      <c r="A152">
        <f>Questionnaire!A153</f>
        <v>151</v>
      </c>
      <c r="B152" s="14" t="s">
        <v>32</v>
      </c>
      <c r="C152" s="9">
        <v>0.11799999999999999</v>
      </c>
      <c r="D152" s="21">
        <v>4</v>
      </c>
      <c r="E152" s="10">
        <v>6</v>
      </c>
      <c r="F152" s="10">
        <v>1.3</v>
      </c>
      <c r="G152" s="10">
        <v>3</v>
      </c>
      <c r="H152" s="10">
        <v>3.3</v>
      </c>
      <c r="I152" s="12">
        <f>94.65/88.4</f>
        <v>1.0707013574660633</v>
      </c>
      <c r="J152" s="12">
        <f t="shared" si="4"/>
        <v>17.131221719457013</v>
      </c>
      <c r="K152" s="10">
        <v>4.0999999999999996</v>
      </c>
      <c r="L152" s="12">
        <f>(((140-Questionnaire!B153)*Questionnaire!Y153)/(72*Results!I152))*0.85</f>
        <v>66.982963549920768</v>
      </c>
      <c r="M152" s="12">
        <f t="shared" si="5"/>
        <v>0.23349181193872162</v>
      </c>
      <c r="N152">
        <v>140</v>
      </c>
      <c r="O152">
        <v>4.5</v>
      </c>
      <c r="P152">
        <v>100</v>
      </c>
    </row>
    <row r="153" spans="1:16" x14ac:dyDescent="0.25">
      <c r="A153">
        <f>Questionnaire!A154</f>
        <v>152</v>
      </c>
      <c r="B153" s="14" t="s">
        <v>32</v>
      </c>
      <c r="C153" s="9">
        <v>6.0999999999999999E-2</v>
      </c>
      <c r="D153" s="21">
        <v>4</v>
      </c>
      <c r="E153" s="10">
        <v>3</v>
      </c>
      <c r="F153" s="10">
        <v>1.1000000000000001</v>
      </c>
      <c r="G153" s="10">
        <v>2</v>
      </c>
      <c r="H153" s="10">
        <v>1.1000000000000001</v>
      </c>
      <c r="I153" s="12">
        <f>102.77/88.4</f>
        <v>1.1625565610859727</v>
      </c>
      <c r="J153" s="12">
        <f t="shared" si="4"/>
        <v>18.600904977375563</v>
      </c>
      <c r="K153" s="10">
        <v>4.0999999999999996</v>
      </c>
      <c r="L153" s="12">
        <f>(((140-Questionnaire!B154)*Questionnaire!Y154)/(72*Results!I153))*0.85</f>
        <v>64.178478371336212</v>
      </c>
      <c r="M153" s="12">
        <f t="shared" si="5"/>
        <v>0.21504330057409751</v>
      </c>
      <c r="N153">
        <v>141</v>
      </c>
      <c r="O153">
        <v>4.7</v>
      </c>
      <c r="P153">
        <v>97</v>
      </c>
    </row>
    <row r="154" spans="1:16" x14ac:dyDescent="0.25">
      <c r="A154">
        <f>Questionnaire!A155</f>
        <v>153</v>
      </c>
      <c r="B154" s="22" t="s">
        <v>32</v>
      </c>
      <c r="C154" s="24">
        <v>7.6999999999999999E-2</v>
      </c>
      <c r="D154" s="6">
        <v>5</v>
      </c>
      <c r="E154" s="10">
        <v>5</v>
      </c>
      <c r="F154" s="10">
        <v>1.5</v>
      </c>
      <c r="G154" s="10">
        <v>1</v>
      </c>
      <c r="H154" s="10">
        <v>3.5</v>
      </c>
      <c r="I154" s="12">
        <f>94.65/88.4</f>
        <v>1.0707013574660633</v>
      </c>
      <c r="J154" s="12">
        <f t="shared" si="4"/>
        <v>17.131221719457013</v>
      </c>
      <c r="K154" s="10">
        <v>4.8</v>
      </c>
      <c r="L154" s="12">
        <f>(((140-Questionnaire!B155)*Questionnaire!Y155)/(72*Results!I154))*0.85</f>
        <v>88.582901919351997</v>
      </c>
      <c r="M154" s="12">
        <f t="shared" si="5"/>
        <v>0.29186476492340202</v>
      </c>
      <c r="N154">
        <v>139</v>
      </c>
      <c r="O154">
        <v>4.7</v>
      </c>
      <c r="P154">
        <v>110</v>
      </c>
    </row>
    <row r="155" spans="1:16" x14ac:dyDescent="0.25">
      <c r="A155">
        <f>Questionnaire!A156</f>
        <v>154</v>
      </c>
      <c r="B155" s="22" t="s">
        <v>32</v>
      </c>
      <c r="C155" s="24">
        <v>4.3999999999999997E-2</v>
      </c>
      <c r="D155" s="6">
        <v>22</v>
      </c>
      <c r="E155" s="10">
        <v>7</v>
      </c>
      <c r="F155" s="10">
        <v>1.6</v>
      </c>
      <c r="G155" s="10">
        <v>3</v>
      </c>
      <c r="H155" s="10">
        <v>3.5</v>
      </c>
      <c r="I155" s="12">
        <f>84.7/88.4</f>
        <v>0.95814479638009042</v>
      </c>
      <c r="J155" s="12">
        <f t="shared" si="4"/>
        <v>15.330316742081447</v>
      </c>
      <c r="K155" s="10">
        <v>3</v>
      </c>
      <c r="L155" s="12">
        <f>(((140-Questionnaire!B156)*Questionnaire!Y156)/(72*Results!I155))*0.85</f>
        <v>70.970484061393165</v>
      </c>
      <c r="M155" s="12">
        <f t="shared" si="5"/>
        <v>1.4350649350649352</v>
      </c>
      <c r="N155">
        <v>140</v>
      </c>
      <c r="O155">
        <v>4.4000000000000004</v>
      </c>
      <c r="P155">
        <v>109</v>
      </c>
    </row>
    <row r="156" spans="1:16" x14ac:dyDescent="0.25">
      <c r="A156">
        <f>Questionnaire!A157</f>
        <v>155</v>
      </c>
      <c r="B156" s="22" t="s">
        <v>11</v>
      </c>
      <c r="C156" s="24">
        <v>8.2000000000000003E-2</v>
      </c>
      <c r="D156" s="6">
        <v>17</v>
      </c>
      <c r="E156" s="10">
        <v>4</v>
      </c>
      <c r="F156" s="10">
        <v>1.2</v>
      </c>
      <c r="G156" s="10">
        <v>1</v>
      </c>
      <c r="H156" s="10">
        <v>3.5</v>
      </c>
      <c r="I156" s="12">
        <f>128.01/88.4</f>
        <v>1.4480769230769228</v>
      </c>
      <c r="J156" s="12">
        <f t="shared" si="4"/>
        <v>23.169230769230765</v>
      </c>
      <c r="K156" s="10">
        <v>5.8</v>
      </c>
      <c r="L156" s="12">
        <f>((140-Questionnaire!B157)*Questionnaire!Y157)/(72*Results!I156)</f>
        <v>31.919728493433681</v>
      </c>
      <c r="M156" s="12">
        <f t="shared" si="5"/>
        <v>0.73373173970783545</v>
      </c>
      <c r="N156">
        <v>136</v>
      </c>
      <c r="O156">
        <v>4.0999999999999996</v>
      </c>
      <c r="P156">
        <v>102</v>
      </c>
    </row>
    <row r="157" spans="1:16" x14ac:dyDescent="0.25">
      <c r="A157">
        <f>Questionnaire!A158</f>
        <v>156</v>
      </c>
      <c r="B157" s="22" t="s">
        <v>32</v>
      </c>
      <c r="C157" s="54" t="s">
        <v>407</v>
      </c>
      <c r="D157" s="6">
        <v>28</v>
      </c>
      <c r="E157" s="10">
        <v>4</v>
      </c>
      <c r="F157" s="10">
        <v>1.3</v>
      </c>
      <c r="G157" s="10">
        <v>2</v>
      </c>
      <c r="H157" s="10">
        <v>3.9</v>
      </c>
      <c r="I157" s="12">
        <f>94.65/88.4</f>
        <v>1.0707013574660633</v>
      </c>
      <c r="J157" s="12">
        <f t="shared" si="4"/>
        <v>17.131221719457013</v>
      </c>
      <c r="K157" s="10">
        <v>5</v>
      </c>
      <c r="L157" s="12">
        <f>(((140-Questionnaire!B158)*Questionnaire!Y158)/(72*Results!I157))*0.85</f>
        <v>72.727510711979818</v>
      </c>
      <c r="M157" s="12">
        <f t="shared" si="5"/>
        <v>1.6344426835710513</v>
      </c>
      <c r="N157">
        <v>137</v>
      </c>
      <c r="O157">
        <v>5</v>
      </c>
      <c r="P157">
        <v>101</v>
      </c>
    </row>
    <row r="158" spans="1:16" x14ac:dyDescent="0.25">
      <c r="A158">
        <f>Questionnaire!A159</f>
        <v>157</v>
      </c>
      <c r="B158" s="22" t="s">
        <v>32</v>
      </c>
      <c r="C158" s="24">
        <v>9.7000000000000003E-2</v>
      </c>
      <c r="D158" s="6">
        <v>8</v>
      </c>
      <c r="E158" s="10">
        <v>5</v>
      </c>
      <c r="F158" s="10">
        <v>1</v>
      </c>
      <c r="G158" s="10">
        <v>1</v>
      </c>
      <c r="H158" s="10">
        <v>3.2</v>
      </c>
      <c r="I158" s="12">
        <f>82.94/88.4</f>
        <v>0.93823529411764695</v>
      </c>
      <c r="J158" s="12">
        <f t="shared" si="4"/>
        <v>15.011764705882351</v>
      </c>
      <c r="K158" s="10">
        <v>2.2999999999999998</v>
      </c>
      <c r="L158" s="12">
        <f>(((140-Questionnaire!B159)*Questionnaire!Y159)/(72*Results!I158))*0.85</f>
        <v>88.469130964820621</v>
      </c>
      <c r="M158" s="12">
        <f t="shared" si="5"/>
        <v>0.53291536050156751</v>
      </c>
      <c r="N158">
        <v>145</v>
      </c>
      <c r="O158">
        <v>4</v>
      </c>
      <c r="P158">
        <v>104</v>
      </c>
    </row>
    <row r="159" spans="1:16" x14ac:dyDescent="0.25">
      <c r="A159">
        <f>Questionnaire!A160</f>
        <v>158</v>
      </c>
      <c r="B159" s="22" t="s">
        <v>32</v>
      </c>
      <c r="C159" s="24">
        <v>4.3999999999999997E-2</v>
      </c>
      <c r="D159" s="6">
        <v>4</v>
      </c>
      <c r="E159" s="10">
        <v>4</v>
      </c>
      <c r="F159" s="10">
        <v>1.2</v>
      </c>
      <c r="G159" s="10">
        <v>1</v>
      </c>
      <c r="H159" s="10">
        <v>1.6</v>
      </c>
      <c r="I159" s="12">
        <v>1.3</v>
      </c>
      <c r="J159" s="12">
        <f t="shared" si="4"/>
        <v>20.8</v>
      </c>
      <c r="K159" s="10">
        <v>1.9</v>
      </c>
      <c r="L159" s="12">
        <f>(((140-Questionnaire!B160)*Questionnaire!Y160)/(72*Results!I159))*0.85</f>
        <v>95.897435897435884</v>
      </c>
      <c r="M159" s="12">
        <f>D159/J159</f>
        <v>0.19230769230769229</v>
      </c>
      <c r="N159">
        <v>133</v>
      </c>
      <c r="O159">
        <v>3.5</v>
      </c>
      <c r="P159">
        <v>102</v>
      </c>
    </row>
    <row r="160" spans="1:16" x14ac:dyDescent="0.25">
      <c r="A160">
        <f>Questionnaire!A161</f>
        <v>159</v>
      </c>
      <c r="B160" s="22" t="s">
        <v>32</v>
      </c>
      <c r="C160" s="54" t="s">
        <v>407</v>
      </c>
      <c r="D160" s="6">
        <v>14</v>
      </c>
      <c r="E160" s="10">
        <v>4</v>
      </c>
      <c r="F160" s="10">
        <v>1.2</v>
      </c>
      <c r="G160" s="10">
        <v>1</v>
      </c>
      <c r="H160" s="10">
        <v>3.3</v>
      </c>
      <c r="I160" s="12">
        <f>87.44/88.4</f>
        <v>0.9891402714932126</v>
      </c>
      <c r="J160" s="12">
        <f t="shared" si="4"/>
        <v>15.826244343891402</v>
      </c>
      <c r="K160" s="10">
        <v>8.4</v>
      </c>
      <c r="L160" s="12">
        <f>(((140-Questionnaire!B161)*Questionnaire!Y161)/(72*Results!I160))*0.85</f>
        <v>60.988709718410099</v>
      </c>
      <c r="M160" s="12">
        <f t="shared" si="5"/>
        <v>0.8846065873741995</v>
      </c>
      <c r="N160">
        <v>139</v>
      </c>
      <c r="O160">
        <v>3.5</v>
      </c>
      <c r="P160">
        <v>105</v>
      </c>
    </row>
    <row r="161" spans="1:16" x14ac:dyDescent="0.25">
      <c r="A161">
        <f>Questionnaire!A162</f>
        <v>160</v>
      </c>
      <c r="B161" s="22" t="s">
        <v>11</v>
      </c>
      <c r="C161" s="24">
        <v>9.4E-2</v>
      </c>
      <c r="D161" s="6">
        <v>15</v>
      </c>
      <c r="E161" s="10">
        <v>3</v>
      </c>
      <c r="F161" s="10">
        <v>1.1000000000000001</v>
      </c>
      <c r="G161" s="10">
        <v>1</v>
      </c>
      <c r="H161" s="10">
        <v>0.8</v>
      </c>
      <c r="I161" s="12">
        <f>82.94/88.4</f>
        <v>0.93823529411764695</v>
      </c>
      <c r="J161" s="12">
        <f t="shared" si="4"/>
        <v>15.011764705882351</v>
      </c>
      <c r="K161" s="10">
        <v>3.8</v>
      </c>
      <c r="L161" s="12">
        <f>((140-Questionnaire!B162)*Questionnaire!Y162)/(72*Results!I161)</f>
        <v>58.857540926506445</v>
      </c>
      <c r="M161" s="12">
        <f t="shared" si="5"/>
        <v>0.99921630094043901</v>
      </c>
      <c r="N161">
        <v>141</v>
      </c>
      <c r="O161">
        <v>3.9</v>
      </c>
      <c r="P161">
        <v>108</v>
      </c>
    </row>
    <row r="162" spans="1:16" x14ac:dyDescent="0.25">
      <c r="A162">
        <f>Questionnaire!A163</f>
        <v>161</v>
      </c>
      <c r="B162" s="22" t="s">
        <v>11</v>
      </c>
      <c r="C162" s="24">
        <v>8.8999999999999996E-2</v>
      </c>
      <c r="D162" s="6">
        <v>4</v>
      </c>
      <c r="E162" s="10">
        <v>3</v>
      </c>
      <c r="F162" s="10">
        <v>1</v>
      </c>
      <c r="G162" s="10">
        <v>1</v>
      </c>
      <c r="H162" s="10">
        <v>1</v>
      </c>
      <c r="I162" s="12">
        <f>113.58/88.4</f>
        <v>1.2848416289592759</v>
      </c>
      <c r="J162" s="12">
        <f t="shared" si="4"/>
        <v>20.557466063348414</v>
      </c>
      <c r="K162" s="10">
        <v>3.8</v>
      </c>
      <c r="L162" s="12">
        <f>((140-Questionnaire!B163)*Questionnaire!Y163)/(72*Results!I162)</f>
        <v>85.581234959206441</v>
      </c>
      <c r="M162" s="12">
        <f t="shared" si="5"/>
        <v>0.19457650994893469</v>
      </c>
      <c r="N162">
        <v>141</v>
      </c>
      <c r="O162">
        <v>4.3</v>
      </c>
      <c r="P162">
        <v>109</v>
      </c>
    </row>
    <row r="163" spans="1:16" x14ac:dyDescent="0.25">
      <c r="A163">
        <f>Questionnaire!A164</f>
        <v>162</v>
      </c>
      <c r="B163" s="22" t="s">
        <v>32</v>
      </c>
      <c r="C163" s="24">
        <v>9.9000000000000005E-2</v>
      </c>
      <c r="D163" s="6">
        <v>28</v>
      </c>
      <c r="E163" s="10">
        <v>5</v>
      </c>
      <c r="F163" s="10">
        <v>1.4</v>
      </c>
      <c r="G163" s="10">
        <v>2</v>
      </c>
      <c r="H163" s="10">
        <v>4.3</v>
      </c>
      <c r="I163" s="12">
        <f>107.27/88.4</f>
        <v>1.2134615384615384</v>
      </c>
      <c r="J163" s="12">
        <f t="shared" si="4"/>
        <v>19.415384615384614</v>
      </c>
      <c r="K163" s="10">
        <v>4.7</v>
      </c>
      <c r="L163" s="12">
        <f>(((140-Questionnaire!B164)*Questionnaire!Y164)/(72*Results!I163))*0.85</f>
        <v>37.455978165169924</v>
      </c>
      <c r="M163" s="12">
        <f t="shared" si="5"/>
        <v>1.4421553090332806</v>
      </c>
      <c r="N163">
        <v>143</v>
      </c>
      <c r="O163">
        <v>5</v>
      </c>
      <c r="P163">
        <v>107</v>
      </c>
    </row>
    <row r="164" spans="1:16" x14ac:dyDescent="0.25">
      <c r="A164">
        <f>Questionnaire!A165</f>
        <v>163</v>
      </c>
      <c r="B164" s="22" t="s">
        <v>11</v>
      </c>
      <c r="C164" s="54" t="s">
        <v>407</v>
      </c>
      <c r="D164" s="6">
        <v>4</v>
      </c>
      <c r="E164" s="10">
        <v>4</v>
      </c>
      <c r="F164" s="10">
        <v>1.1000000000000001</v>
      </c>
      <c r="G164" s="10">
        <v>2</v>
      </c>
      <c r="H164" s="10">
        <v>3.3</v>
      </c>
      <c r="I164" s="12">
        <f>145.14/88.4</f>
        <v>1.6418552036199092</v>
      </c>
      <c r="J164" s="12">
        <f t="shared" si="4"/>
        <v>26.269683257918548</v>
      </c>
      <c r="K164" s="10">
        <v>6.4</v>
      </c>
      <c r="L164" s="12">
        <f>((140-Questionnaire!B165)*Questionnaire!Y165)/(72*Results!I164)</f>
        <v>48.386997994273734</v>
      </c>
      <c r="M164" s="12">
        <f t="shared" si="5"/>
        <v>0.15226677690505722</v>
      </c>
      <c r="N164">
        <v>142</v>
      </c>
      <c r="O164">
        <v>3.7</v>
      </c>
      <c r="P164">
        <v>109</v>
      </c>
    </row>
    <row r="165" spans="1:16" x14ac:dyDescent="0.25">
      <c r="A165">
        <f>Questionnaire!A166</f>
        <v>164</v>
      </c>
      <c r="B165" s="22" t="s">
        <v>32</v>
      </c>
      <c r="C165" s="24">
        <v>0.125</v>
      </c>
      <c r="D165" s="6">
        <v>19</v>
      </c>
      <c r="E165" s="10">
        <v>3</v>
      </c>
      <c r="F165" s="10">
        <v>1.3</v>
      </c>
      <c r="G165" s="10">
        <v>1</v>
      </c>
      <c r="H165" s="10">
        <v>1.1000000000000001</v>
      </c>
      <c r="I165" s="12">
        <f>81.13/88.4</f>
        <v>0.91776018099547496</v>
      </c>
      <c r="J165" s="12">
        <f t="shared" si="4"/>
        <v>14.684162895927599</v>
      </c>
      <c r="K165" s="10">
        <v>3.7</v>
      </c>
      <c r="L165" s="12">
        <f>(((140-Questionnaire!B166)*Questionnaire!Y166)/(72*Results!I165))*0.85</f>
        <v>66.568316282509556</v>
      </c>
      <c r="M165" s="12">
        <f t="shared" si="5"/>
        <v>1.2939110070257613</v>
      </c>
      <c r="N165">
        <v>133</v>
      </c>
      <c r="O165">
        <v>2.9</v>
      </c>
      <c r="P165">
        <v>98</v>
      </c>
    </row>
    <row r="166" spans="1:16" x14ac:dyDescent="0.25">
      <c r="A166">
        <f>Questionnaire!A167</f>
        <v>165</v>
      </c>
      <c r="B166" s="22" t="s">
        <v>32</v>
      </c>
      <c r="C166" s="24">
        <v>6.2E-2</v>
      </c>
      <c r="D166" s="6">
        <v>5</v>
      </c>
      <c r="E166" s="10">
        <v>4</v>
      </c>
      <c r="F166" s="10">
        <v>1.2</v>
      </c>
      <c r="G166" s="10">
        <v>1</v>
      </c>
      <c r="H166" s="10">
        <v>3.6</v>
      </c>
      <c r="I166" s="12">
        <f>81.13/88.4</f>
        <v>0.91776018099547496</v>
      </c>
      <c r="J166" s="12">
        <f t="shared" si="4"/>
        <v>14.684162895927599</v>
      </c>
      <c r="K166" s="10">
        <v>5.6</v>
      </c>
      <c r="L166" s="12">
        <f>(((140-Questionnaire!B167)*Questionnaire!Y167)/(72*Results!I166))*0.85</f>
        <v>72.44690962378624</v>
      </c>
      <c r="M166" s="12">
        <f t="shared" si="5"/>
        <v>0.34050289658572669</v>
      </c>
      <c r="N166">
        <v>144</v>
      </c>
      <c r="O166">
        <v>3</v>
      </c>
      <c r="P166">
        <v>107</v>
      </c>
    </row>
    <row r="167" spans="1:16" x14ac:dyDescent="0.25">
      <c r="A167">
        <f>Questionnaire!A168</f>
        <v>166</v>
      </c>
      <c r="B167" s="22" t="s">
        <v>32</v>
      </c>
      <c r="C167" s="25">
        <v>0.13</v>
      </c>
      <c r="D167" s="6">
        <v>5</v>
      </c>
      <c r="E167" s="10">
        <v>4</v>
      </c>
      <c r="F167" s="10">
        <v>1.2</v>
      </c>
      <c r="G167" s="10">
        <v>1</v>
      </c>
      <c r="H167" s="10">
        <v>2.9</v>
      </c>
      <c r="I167" s="12">
        <f>102/88.4</f>
        <v>1.1538461538461537</v>
      </c>
      <c r="J167" s="12">
        <f t="shared" si="4"/>
        <v>18.46153846153846</v>
      </c>
      <c r="K167" s="10">
        <v>5.4</v>
      </c>
      <c r="L167" s="12">
        <f>(((140-Questionnaire!B168)*Questionnaire!Y168)/(72*Results!I167))*0.85</f>
        <v>56.784722222222236</v>
      </c>
      <c r="M167" s="12">
        <f t="shared" si="5"/>
        <v>0.27083333333333337</v>
      </c>
      <c r="N167">
        <v>139</v>
      </c>
      <c r="O167">
        <v>3.8</v>
      </c>
      <c r="P167">
        <v>103</v>
      </c>
    </row>
    <row r="168" spans="1:16" x14ac:dyDescent="0.25">
      <c r="A168">
        <f>Questionnaire!A169</f>
        <v>167</v>
      </c>
      <c r="B168" s="22" t="s">
        <v>11</v>
      </c>
      <c r="C168" s="25">
        <v>0.06</v>
      </c>
      <c r="D168" s="6">
        <v>13</v>
      </c>
      <c r="E168" s="10">
        <v>5</v>
      </c>
      <c r="F168" s="10">
        <v>1.3</v>
      </c>
      <c r="G168" s="10">
        <v>2</v>
      </c>
      <c r="H168" s="10">
        <v>4.0999999999999996</v>
      </c>
      <c r="I168" s="12">
        <f>98.26/88.4</f>
        <v>1.1115384615384616</v>
      </c>
      <c r="J168" s="12">
        <f t="shared" si="4"/>
        <v>17.784615384615385</v>
      </c>
      <c r="K168" s="10">
        <v>6.8</v>
      </c>
      <c r="L168" s="12">
        <f>((140-Questionnaire!B169)*Questionnaire!Y169)/(72*Results!I168)</f>
        <v>76.970396001537864</v>
      </c>
      <c r="M168" s="12">
        <f t="shared" si="5"/>
        <v>0.73096885813148782</v>
      </c>
      <c r="N168">
        <v>144</v>
      </c>
      <c r="O168">
        <v>4.2</v>
      </c>
      <c r="P168">
        <v>107</v>
      </c>
    </row>
    <row r="169" spans="1:16" x14ac:dyDescent="0.25">
      <c r="A169">
        <f>Questionnaire!A170</f>
        <v>168</v>
      </c>
      <c r="B169" s="22" t="s">
        <v>32</v>
      </c>
      <c r="C169" s="24">
        <v>0.105</v>
      </c>
      <c r="D169" s="6">
        <v>8</v>
      </c>
      <c r="E169" s="10">
        <v>5</v>
      </c>
      <c r="F169" s="10">
        <v>1.2</v>
      </c>
      <c r="G169" s="10">
        <v>1</v>
      </c>
      <c r="H169" s="10">
        <v>4.7</v>
      </c>
      <c r="I169" s="12">
        <f>128.01/88.4</f>
        <v>1.4480769230769228</v>
      </c>
      <c r="J169" s="12">
        <f t="shared" si="4"/>
        <v>23.169230769230765</v>
      </c>
      <c r="K169" s="10">
        <v>4.2</v>
      </c>
      <c r="L169" s="12">
        <f>(((140-Questionnaire!B170)*Questionnaire!Y170)/(72*Results!I169))*0.85</f>
        <v>30.588460970931095</v>
      </c>
      <c r="M169" s="12">
        <f t="shared" si="5"/>
        <v>0.34528552456839318</v>
      </c>
      <c r="N169">
        <v>134</v>
      </c>
      <c r="O169">
        <v>3.9</v>
      </c>
      <c r="P169">
        <v>99</v>
      </c>
    </row>
    <row r="170" spans="1:16" x14ac:dyDescent="0.25">
      <c r="A170">
        <f>Questionnaire!A171</f>
        <v>169</v>
      </c>
      <c r="B170" s="22" t="s">
        <v>11</v>
      </c>
      <c r="C170" s="24">
        <v>0.113</v>
      </c>
      <c r="D170" s="6">
        <v>7</v>
      </c>
      <c r="E170" s="10">
        <v>5</v>
      </c>
      <c r="F170" s="10">
        <v>1</v>
      </c>
      <c r="G170" s="10">
        <v>3</v>
      </c>
      <c r="H170" s="10">
        <v>2.6</v>
      </c>
      <c r="I170" s="12">
        <f>136.1/88.4</f>
        <v>1.5395927601809953</v>
      </c>
      <c r="J170" s="12">
        <f t="shared" si="4"/>
        <v>24.633484162895925</v>
      </c>
      <c r="K170" s="10">
        <v>5.6</v>
      </c>
      <c r="L170" s="12">
        <f>((140-Questionnaire!B171)*Questionnaire!Y171)/(72*Results!I170)</f>
        <v>49.255449424442823</v>
      </c>
      <c r="M170" s="12">
        <f t="shared" si="5"/>
        <v>0.28416605437178549</v>
      </c>
      <c r="N170">
        <v>146</v>
      </c>
      <c r="O170">
        <v>4.5</v>
      </c>
      <c r="P170">
        <v>113</v>
      </c>
    </row>
    <row r="171" spans="1:16" x14ac:dyDescent="0.25">
      <c r="A171">
        <f>Questionnaire!A172</f>
        <v>170</v>
      </c>
      <c r="B171" s="22" t="s">
        <v>11</v>
      </c>
      <c r="C171" s="24">
        <v>5.0999999999999997E-2</v>
      </c>
      <c r="D171" s="6">
        <v>4</v>
      </c>
      <c r="E171" s="10">
        <v>3</v>
      </c>
      <c r="F171" s="10">
        <v>0.9</v>
      </c>
      <c r="G171" s="10">
        <v>1</v>
      </c>
      <c r="H171" s="10">
        <v>2.2999999999999998</v>
      </c>
      <c r="I171" s="12">
        <f>102.8/88.4</f>
        <v>1.1628959276018098</v>
      </c>
      <c r="J171" s="12">
        <f t="shared" si="4"/>
        <v>18.606334841628957</v>
      </c>
      <c r="K171" s="10">
        <v>3.2</v>
      </c>
      <c r="L171" s="12">
        <f>((140-Questionnaire!B172)*Questionnaire!Y172)/(72*Results!I171)</f>
        <v>78.420125378296603</v>
      </c>
      <c r="M171" s="12">
        <f t="shared" si="5"/>
        <v>0.21498054474708173</v>
      </c>
      <c r="N171">
        <v>144</v>
      </c>
      <c r="O171">
        <v>3.7</v>
      </c>
      <c r="P171">
        <v>107</v>
      </c>
    </row>
    <row r="172" spans="1:16" x14ac:dyDescent="0.25">
      <c r="A172">
        <f>Questionnaire!A173</f>
        <v>171</v>
      </c>
      <c r="B172" s="22" t="s">
        <v>32</v>
      </c>
      <c r="C172" s="24">
        <v>5.5E-2</v>
      </c>
      <c r="D172" s="6">
        <v>47</v>
      </c>
      <c r="E172" s="10">
        <v>5</v>
      </c>
      <c r="F172" s="10">
        <v>1.2</v>
      </c>
      <c r="G172" s="10">
        <v>4</v>
      </c>
      <c r="H172" s="10">
        <v>2.7</v>
      </c>
      <c r="I172" s="12">
        <f>133.42/88.4</f>
        <v>1.5092760180995473</v>
      </c>
      <c r="J172" s="12">
        <f t="shared" si="4"/>
        <v>24.148416289592756</v>
      </c>
      <c r="K172" s="10">
        <v>6</v>
      </c>
      <c r="L172" s="12">
        <f>(((140-Questionnaire!B173)*Questionnaire!Y173)/(72*Results!I172))*0.85</f>
        <v>23.544217092223391</v>
      </c>
      <c r="M172" s="12">
        <f t="shared" si="5"/>
        <v>1.9462974066856547</v>
      </c>
      <c r="N172">
        <v>142</v>
      </c>
      <c r="O172">
        <v>4</v>
      </c>
      <c r="P172">
        <v>103</v>
      </c>
    </row>
    <row r="173" spans="1:16" x14ac:dyDescent="0.25">
      <c r="A173">
        <f>Questionnaire!A174</f>
        <v>172</v>
      </c>
      <c r="B173" s="22" t="s">
        <v>32</v>
      </c>
      <c r="C173" s="24">
        <v>6.5000000000000002E-2</v>
      </c>
      <c r="D173" s="6">
        <v>29</v>
      </c>
      <c r="E173" s="10">
        <v>4</v>
      </c>
      <c r="F173" s="10">
        <v>1.5</v>
      </c>
      <c r="G173" s="10">
        <v>2</v>
      </c>
      <c r="H173" s="10">
        <v>2.8</v>
      </c>
      <c r="I173" s="12">
        <f>91.05/88.4</f>
        <v>1.0299773755656108</v>
      </c>
      <c r="J173" s="12">
        <f t="shared" si="4"/>
        <v>16.479638009049772</v>
      </c>
      <c r="K173" s="10">
        <v>2</v>
      </c>
      <c r="L173" s="12">
        <f>(((140-Questionnaire!B174)*Questionnaire!Y174)/(72*Results!I173))*0.85</f>
        <v>31.634999084751971</v>
      </c>
      <c r="M173" s="12">
        <f t="shared" si="5"/>
        <v>1.7597473915431083</v>
      </c>
      <c r="N173">
        <v>144</v>
      </c>
      <c r="O173">
        <v>4.0999999999999996</v>
      </c>
      <c r="P173">
        <v>105</v>
      </c>
    </row>
    <row r="174" spans="1:16" x14ac:dyDescent="0.25">
      <c r="A174">
        <f>Questionnaire!A175</f>
        <v>173</v>
      </c>
      <c r="B174" s="22" t="s">
        <v>32</v>
      </c>
      <c r="C174" s="24">
        <v>7.1999999999999995E-2</v>
      </c>
      <c r="D174" s="6">
        <v>6</v>
      </c>
      <c r="E174" s="10">
        <v>4</v>
      </c>
      <c r="F174" s="10">
        <v>1.1000000000000001</v>
      </c>
      <c r="G174" s="10">
        <v>1</v>
      </c>
      <c r="H174" s="10">
        <v>6.2</v>
      </c>
      <c r="I174" s="12">
        <f>84.7/88.4</f>
        <v>0.95814479638009042</v>
      </c>
      <c r="J174" s="12">
        <f t="shared" si="4"/>
        <v>15.330316742081447</v>
      </c>
      <c r="K174" s="10">
        <v>2.6</v>
      </c>
      <c r="L174" s="12">
        <f>(((140-Questionnaire!B175)*Questionnaire!Y175)/(72*Results!I174))*0.85</f>
        <v>67.495887445887448</v>
      </c>
      <c r="M174" s="12">
        <f t="shared" si="5"/>
        <v>0.39138134592680052</v>
      </c>
      <c r="N174">
        <v>143</v>
      </c>
      <c r="O174">
        <v>4.0999999999999996</v>
      </c>
      <c r="P174">
        <v>109</v>
      </c>
    </row>
    <row r="175" spans="1:16" x14ac:dyDescent="0.25">
      <c r="A175">
        <f>Questionnaire!A176</f>
        <v>174</v>
      </c>
      <c r="B175" s="22" t="s">
        <v>32</v>
      </c>
      <c r="C175" s="24">
        <v>6.7000000000000004E-2</v>
      </c>
      <c r="D175" s="6">
        <v>8</v>
      </c>
      <c r="E175" s="10">
        <v>4</v>
      </c>
      <c r="F175" s="10">
        <v>1.5</v>
      </c>
      <c r="G175" s="10">
        <v>1</v>
      </c>
      <c r="H175" s="10">
        <v>1.9</v>
      </c>
      <c r="I175" s="12">
        <f>91.95/88.4</f>
        <v>1.0401583710407238</v>
      </c>
      <c r="J175" s="12">
        <f t="shared" si="4"/>
        <v>16.642533936651581</v>
      </c>
      <c r="K175" s="10">
        <v>2.4</v>
      </c>
      <c r="L175" s="12">
        <f>(((140-Questionnaire!B176)*Questionnaire!Y176)/(72*Results!I175))*0.85</f>
        <v>42.391381185426873</v>
      </c>
      <c r="M175" s="12">
        <f t="shared" si="5"/>
        <v>0.4806960304513323</v>
      </c>
      <c r="N175">
        <v>137</v>
      </c>
      <c r="O175">
        <v>3.8</v>
      </c>
      <c r="P175">
        <v>104</v>
      </c>
    </row>
    <row r="176" spans="1:16" x14ac:dyDescent="0.25">
      <c r="A176">
        <f>Questionnaire!A177</f>
        <v>175</v>
      </c>
      <c r="B176" s="22" t="s">
        <v>32</v>
      </c>
      <c r="C176" s="25">
        <v>0.08</v>
      </c>
      <c r="D176" s="6">
        <v>7</v>
      </c>
      <c r="E176" s="10">
        <v>5</v>
      </c>
      <c r="F176" s="10">
        <v>1.9</v>
      </c>
      <c r="G176" s="10">
        <v>1</v>
      </c>
      <c r="H176" s="10">
        <v>2.2000000000000002</v>
      </c>
      <c r="I176" s="12">
        <f>76.62/88.4</f>
        <v>0.86674208144796383</v>
      </c>
      <c r="J176" s="12">
        <f t="shared" si="4"/>
        <v>13.867873303167421</v>
      </c>
      <c r="K176" s="10">
        <v>3</v>
      </c>
      <c r="L176" s="12">
        <f>(((140-Questionnaire!B177)*Questionnaire!Y177)/(72*Results!I176))*0.85</f>
        <v>74.572837814321758</v>
      </c>
      <c r="M176" s="12">
        <f t="shared" si="5"/>
        <v>0.50476376925084832</v>
      </c>
      <c r="N176">
        <v>132</v>
      </c>
      <c r="O176">
        <v>4</v>
      </c>
      <c r="P176">
        <v>98</v>
      </c>
    </row>
    <row r="177" spans="1:16" x14ac:dyDescent="0.25">
      <c r="A177">
        <f>Questionnaire!A178</f>
        <v>176</v>
      </c>
      <c r="B177" s="22" t="s">
        <v>11</v>
      </c>
      <c r="C177" s="25">
        <v>0.09</v>
      </c>
      <c r="D177" s="6">
        <v>5</v>
      </c>
      <c r="E177" s="10">
        <v>4</v>
      </c>
      <c r="F177" s="10">
        <v>1.2</v>
      </c>
      <c r="G177" s="10">
        <v>1</v>
      </c>
      <c r="H177" s="10">
        <v>1.6</v>
      </c>
      <c r="I177" s="12">
        <f>107.27/88.4</f>
        <v>1.2134615384615384</v>
      </c>
      <c r="J177" s="12">
        <f t="shared" si="4"/>
        <v>19.415384615384614</v>
      </c>
      <c r="K177" s="10">
        <v>7.4</v>
      </c>
      <c r="L177" s="12">
        <f>((140-Questionnaire!B178)*Questionnaire!Y178)/(72*Results!I177)</f>
        <v>55.797675647120975</v>
      </c>
      <c r="M177" s="12">
        <f t="shared" si="5"/>
        <v>0.25752773375594296</v>
      </c>
      <c r="N177">
        <v>142</v>
      </c>
      <c r="O177">
        <v>4.2</v>
      </c>
      <c r="P177">
        <v>108</v>
      </c>
    </row>
    <row r="178" spans="1:16" x14ac:dyDescent="0.25">
      <c r="A178">
        <f>Questionnaire!A179</f>
        <v>177</v>
      </c>
      <c r="B178" s="22" t="s">
        <v>11</v>
      </c>
      <c r="C178" s="24">
        <v>0.10199999999999999</v>
      </c>
      <c r="D178" s="6">
        <v>5</v>
      </c>
      <c r="E178" s="10">
        <v>4</v>
      </c>
      <c r="F178" s="10">
        <v>1.4</v>
      </c>
      <c r="G178" s="10">
        <v>1</v>
      </c>
      <c r="H178" s="10">
        <v>2.2000000000000002</v>
      </c>
      <c r="I178" s="12">
        <f>108.18/88.4</f>
        <v>1.2237556561085974</v>
      </c>
      <c r="J178" s="12">
        <f t="shared" si="4"/>
        <v>19.580090497737558</v>
      </c>
      <c r="K178" s="10">
        <v>4.5</v>
      </c>
      <c r="L178" s="12">
        <f>((140-Questionnaire!B179)*Questionnaire!Y179)/(72*Results!I178)</f>
        <v>97.24163431318172</v>
      </c>
      <c r="M178" s="12">
        <f t="shared" si="5"/>
        <v>0.25536143464596039</v>
      </c>
      <c r="N178">
        <v>144</v>
      </c>
      <c r="O178">
        <v>3.9</v>
      </c>
      <c r="P178">
        <v>111</v>
      </c>
    </row>
    <row r="179" spans="1:16" x14ac:dyDescent="0.25">
      <c r="A179">
        <f>Questionnaire!A180</f>
        <v>178</v>
      </c>
      <c r="B179" s="22" t="s">
        <v>32</v>
      </c>
      <c r="C179" s="24">
        <v>6.9000000000000006E-2</v>
      </c>
      <c r="D179" s="6">
        <v>13</v>
      </c>
      <c r="E179" s="10">
        <v>4</v>
      </c>
      <c r="F179" s="10">
        <v>1.1000000000000001</v>
      </c>
      <c r="G179" s="10">
        <v>1</v>
      </c>
      <c r="H179" s="10">
        <v>2.5</v>
      </c>
      <c r="I179" s="12">
        <f>124.4/88.4</f>
        <v>1.4072398190045248</v>
      </c>
      <c r="J179" s="12">
        <f t="shared" si="4"/>
        <v>22.515837104072396</v>
      </c>
      <c r="K179" s="10">
        <v>10.1</v>
      </c>
      <c r="L179" s="12">
        <f>(((140-Questionnaire!B180)*Questionnaire!Y180)/(72*Results!I179))*0.85</f>
        <v>36.912290103608434</v>
      </c>
      <c r="M179" s="12">
        <f t="shared" si="5"/>
        <v>0.57737138263665599</v>
      </c>
      <c r="N179">
        <v>143</v>
      </c>
      <c r="O179">
        <v>4.3</v>
      </c>
      <c r="P179">
        <v>108</v>
      </c>
    </row>
    <row r="180" spans="1:16" x14ac:dyDescent="0.25">
      <c r="A180">
        <f>Questionnaire!A181</f>
        <v>179</v>
      </c>
      <c r="B180" s="22" t="s">
        <v>32</v>
      </c>
      <c r="C180" s="24">
        <v>7.9000000000000001E-2</v>
      </c>
      <c r="D180" s="6">
        <v>13</v>
      </c>
      <c r="E180" s="10">
        <v>4</v>
      </c>
      <c r="F180" s="10">
        <v>1.4</v>
      </c>
      <c r="G180" s="10">
        <v>1</v>
      </c>
      <c r="H180" s="10">
        <v>1.6</v>
      </c>
      <c r="I180" s="12">
        <f>95.56/88.4</f>
        <v>1.0809954751131221</v>
      </c>
      <c r="J180" s="12">
        <f t="shared" si="4"/>
        <v>17.295927601809954</v>
      </c>
      <c r="K180" s="10">
        <v>6.2</v>
      </c>
      <c r="L180" s="12">
        <f>(((140-Questionnaire!B181)*Questionnaire!Y181)/(72*Results!I180))*0.85</f>
        <v>55.009095507185712</v>
      </c>
      <c r="M180" s="12">
        <f t="shared" si="5"/>
        <v>0.75162201758057767</v>
      </c>
      <c r="N180">
        <v>145</v>
      </c>
      <c r="O180">
        <v>4</v>
      </c>
      <c r="P180">
        <v>110</v>
      </c>
    </row>
    <row r="181" spans="1:16" x14ac:dyDescent="0.25">
      <c r="A181">
        <f>Questionnaire!A182</f>
        <v>180</v>
      </c>
      <c r="B181" s="22" t="s">
        <v>32</v>
      </c>
      <c r="C181" s="24">
        <v>8.5000000000000006E-2</v>
      </c>
      <c r="D181" s="6">
        <v>9</v>
      </c>
      <c r="E181" s="10">
        <v>4</v>
      </c>
      <c r="F181" s="10">
        <v>1.2</v>
      </c>
      <c r="G181" s="10">
        <v>1</v>
      </c>
      <c r="H181" s="10">
        <v>1.9</v>
      </c>
      <c r="I181" s="12">
        <v>1.1000000000000001</v>
      </c>
      <c r="J181" s="12">
        <f t="shared" si="4"/>
        <v>17.600000000000001</v>
      </c>
      <c r="K181" s="10">
        <v>2.4</v>
      </c>
      <c r="L181" s="12">
        <f>(((140-Questionnaire!B182)*Questionnaire!Y182)/(72*Results!I181))*0.85</f>
        <v>94.659090909090907</v>
      </c>
      <c r="M181" s="12">
        <f t="shared" si="5"/>
        <v>0.51136363636363635</v>
      </c>
      <c r="N181">
        <v>143</v>
      </c>
      <c r="O181">
        <v>3.5</v>
      </c>
      <c r="P181">
        <v>105</v>
      </c>
    </row>
    <row r="182" spans="1:16" x14ac:dyDescent="0.25">
      <c r="A182">
        <f>Questionnaire!A183</f>
        <v>181</v>
      </c>
      <c r="B182" s="22" t="s">
        <v>11</v>
      </c>
      <c r="C182" s="24">
        <v>0.105</v>
      </c>
      <c r="D182" s="6">
        <v>160</v>
      </c>
      <c r="E182" s="10">
        <v>7</v>
      </c>
      <c r="F182" s="10">
        <v>1.6</v>
      </c>
      <c r="G182" s="10">
        <v>2</v>
      </c>
      <c r="H182" s="10">
        <v>4.7</v>
      </c>
      <c r="I182" s="12">
        <f>146.94/88.4</f>
        <v>1.6622171945701356</v>
      </c>
      <c r="J182" s="12">
        <f t="shared" si="4"/>
        <v>26.59547511312217</v>
      </c>
      <c r="K182" s="10">
        <v>8.4</v>
      </c>
      <c r="L182" s="12">
        <f>((140-Questionnaire!B183)*Questionnaire!Y183)/(72*Results!I182)</f>
        <v>33.689941472709954</v>
      </c>
      <c r="M182" s="12">
        <f t="shared" si="5"/>
        <v>6.0160609772696345</v>
      </c>
      <c r="N182">
        <v>138</v>
      </c>
      <c r="O182">
        <v>5.7</v>
      </c>
      <c r="P182">
        <v>101</v>
      </c>
    </row>
    <row r="183" spans="1:16" x14ac:dyDescent="0.25">
      <c r="A183">
        <f>Questionnaire!A184</f>
        <v>182</v>
      </c>
      <c r="B183" s="22" t="s">
        <v>32</v>
      </c>
      <c r="C183" s="24">
        <v>0.13900000000000001</v>
      </c>
      <c r="D183" s="6">
        <v>15</v>
      </c>
      <c r="E183" s="10">
        <v>4</v>
      </c>
      <c r="F183" s="10">
        <v>1.3</v>
      </c>
      <c r="G183" s="10">
        <v>1</v>
      </c>
      <c r="H183" s="10">
        <v>2.1</v>
      </c>
      <c r="I183" s="12">
        <f>84.74/88.4</f>
        <v>0.95859728506787323</v>
      </c>
      <c r="J183" s="12">
        <f t="shared" si="4"/>
        <v>15.337556561085972</v>
      </c>
      <c r="K183" s="10">
        <v>6</v>
      </c>
      <c r="L183" s="12">
        <f>(((140-Questionnaire!B184)*Questionnaire!Y184)/(72*Results!I183))*0.85</f>
        <v>36.330573256759237</v>
      </c>
      <c r="M183" s="12">
        <f t="shared" si="5"/>
        <v>0.97799150342223273</v>
      </c>
      <c r="N183">
        <v>137</v>
      </c>
      <c r="O183">
        <v>3.9</v>
      </c>
      <c r="P183">
        <v>99</v>
      </c>
    </row>
    <row r="184" spans="1:16" x14ac:dyDescent="0.25">
      <c r="A184">
        <f>Questionnaire!A185</f>
        <v>183</v>
      </c>
      <c r="B184" s="22" t="s">
        <v>32</v>
      </c>
      <c r="C184" s="24">
        <v>0.113</v>
      </c>
      <c r="D184" s="6">
        <v>90</v>
      </c>
      <c r="E184" s="10">
        <v>4</v>
      </c>
      <c r="F184" s="10">
        <v>1.6</v>
      </c>
      <c r="G184" s="10">
        <v>1</v>
      </c>
      <c r="H184" s="10">
        <v>1.7</v>
      </c>
      <c r="I184" s="12">
        <f>112.68/88.4</f>
        <v>1.2746606334841628</v>
      </c>
      <c r="J184" s="12">
        <f t="shared" si="4"/>
        <v>20.394570135746605</v>
      </c>
      <c r="K184" s="10">
        <v>6.1</v>
      </c>
      <c r="L184" s="12">
        <f>(((140-Questionnaire!B185)*Questionnaire!Y185)/(72*Results!I184))*0.85</f>
        <v>31.008253461128859</v>
      </c>
      <c r="M184" s="12">
        <f t="shared" si="5"/>
        <v>4.4129392971246011</v>
      </c>
      <c r="N184">
        <v>134</v>
      </c>
      <c r="O184">
        <v>3.5</v>
      </c>
      <c r="P184">
        <v>98</v>
      </c>
    </row>
    <row r="185" spans="1:16" x14ac:dyDescent="0.25">
      <c r="A185">
        <f>Questionnaire!A186</f>
        <v>184</v>
      </c>
      <c r="B185" s="22" t="s">
        <v>32</v>
      </c>
      <c r="C185" s="24">
        <v>0.115</v>
      </c>
      <c r="D185" s="6">
        <v>5</v>
      </c>
      <c r="E185" s="10">
        <v>3</v>
      </c>
      <c r="F185" s="10">
        <v>1.3</v>
      </c>
      <c r="G185" s="10">
        <v>0</v>
      </c>
      <c r="H185" s="10">
        <v>0.9</v>
      </c>
      <c r="I185" s="12">
        <f>80.23/88.4</f>
        <v>0.90757918552036199</v>
      </c>
      <c r="J185" s="12">
        <f t="shared" si="4"/>
        <v>14.521266968325792</v>
      </c>
      <c r="K185" s="10">
        <v>3.2</v>
      </c>
      <c r="L185" s="12">
        <f>(((140-Questionnaire!B186)*Questionnaire!Y186)/(72*Results!I185))*0.85</f>
        <v>61.812788233827739</v>
      </c>
      <c r="M185" s="12">
        <f t="shared" si="5"/>
        <v>0.3443225726037642</v>
      </c>
      <c r="N185">
        <v>128</v>
      </c>
      <c r="O185">
        <v>3.8</v>
      </c>
      <c r="P185">
        <v>96</v>
      </c>
    </row>
    <row r="186" spans="1:16" x14ac:dyDescent="0.25">
      <c r="A186">
        <f>Questionnaire!A187</f>
        <v>185</v>
      </c>
      <c r="B186" s="22" t="s">
        <v>11</v>
      </c>
      <c r="C186" s="24">
        <v>5.5E-2</v>
      </c>
      <c r="D186" s="6">
        <v>89</v>
      </c>
      <c r="E186" s="10">
        <v>4</v>
      </c>
      <c r="F186" s="10">
        <v>1.2</v>
      </c>
      <c r="G186" s="10">
        <v>1</v>
      </c>
      <c r="H186" s="10">
        <v>1.5</v>
      </c>
      <c r="I186" s="12">
        <f>151.45/88.4</f>
        <v>1.7132352941176467</v>
      </c>
      <c r="J186" s="12">
        <f t="shared" si="4"/>
        <v>27.411764705882348</v>
      </c>
      <c r="K186" s="10">
        <v>8.6</v>
      </c>
      <c r="L186" s="12">
        <f>((140-Questionnaire!B187)*Questionnaire!Y187)/(72*Results!I186)</f>
        <v>28.211731044349076</v>
      </c>
      <c r="M186" s="12">
        <f t="shared" si="5"/>
        <v>3.2467811158798288</v>
      </c>
      <c r="N186">
        <v>141</v>
      </c>
      <c r="O186">
        <v>4.4000000000000004</v>
      </c>
      <c r="P186">
        <v>106</v>
      </c>
    </row>
    <row r="187" spans="1:16" x14ac:dyDescent="0.25">
      <c r="A187">
        <f>Questionnaire!A188</f>
        <v>186</v>
      </c>
      <c r="B187" s="22" t="s">
        <v>11</v>
      </c>
      <c r="C187" s="25">
        <v>0.12</v>
      </c>
      <c r="D187" s="6">
        <v>7</v>
      </c>
      <c r="E187" s="10">
        <v>3</v>
      </c>
      <c r="F187" s="10">
        <v>1.3</v>
      </c>
      <c r="G187" s="10">
        <v>1</v>
      </c>
      <c r="H187" s="10">
        <v>1.5</v>
      </c>
      <c r="I187" s="12">
        <f>119.9/88.4</f>
        <v>1.3563348416289593</v>
      </c>
      <c r="J187" s="12">
        <f t="shared" si="4"/>
        <v>21.701357466063349</v>
      </c>
      <c r="K187" s="10">
        <v>6.3</v>
      </c>
      <c r="L187" s="12">
        <f>((140-Questionnaire!B188)*Questionnaire!Y188)/(72*Results!I187)</f>
        <v>57.507923269391156</v>
      </c>
      <c r="M187" s="12">
        <f t="shared" si="5"/>
        <v>0.32256046705587987</v>
      </c>
      <c r="N187">
        <v>141</v>
      </c>
      <c r="O187">
        <v>3.5</v>
      </c>
      <c r="P187">
        <v>105</v>
      </c>
    </row>
    <row r="188" spans="1:16" x14ac:dyDescent="0.25">
      <c r="A188">
        <f>Questionnaire!A189</f>
        <v>187</v>
      </c>
      <c r="B188" s="22" t="s">
        <v>11</v>
      </c>
      <c r="C188" s="24">
        <v>8.6999999999999994E-2</v>
      </c>
      <c r="D188" s="6">
        <v>22</v>
      </c>
      <c r="E188" s="10">
        <v>5</v>
      </c>
      <c r="F188" s="10">
        <v>1.2</v>
      </c>
      <c r="G188" s="10">
        <v>2</v>
      </c>
      <c r="H188" s="10">
        <v>2.2000000000000002</v>
      </c>
      <c r="I188" s="12">
        <f>114.49/88.4</f>
        <v>1.2951357466063347</v>
      </c>
      <c r="J188" s="12">
        <f t="shared" si="4"/>
        <v>20.722171945701355</v>
      </c>
      <c r="K188" s="10">
        <v>6.6</v>
      </c>
      <c r="L188" s="12">
        <f>((140-Questionnaire!B189)*Questionnaire!Y189)/(72*Results!I188)</f>
        <v>65.630186042449139</v>
      </c>
      <c r="M188" s="12">
        <f t="shared" si="5"/>
        <v>1.061664774216089</v>
      </c>
      <c r="N188">
        <v>143</v>
      </c>
      <c r="O188">
        <v>3.8</v>
      </c>
      <c r="P188">
        <v>106</v>
      </c>
    </row>
    <row r="189" spans="1:16" x14ac:dyDescent="0.25">
      <c r="A189">
        <f>Questionnaire!A190</f>
        <v>188</v>
      </c>
      <c r="B189" s="22" t="s">
        <v>32</v>
      </c>
      <c r="C189" s="24">
        <v>7.9000000000000001E-2</v>
      </c>
      <c r="D189" s="6">
        <v>9</v>
      </c>
      <c r="E189" s="10">
        <v>4</v>
      </c>
      <c r="F189" s="10">
        <v>0.9</v>
      </c>
      <c r="G189" s="10">
        <v>2</v>
      </c>
      <c r="H189" s="10">
        <v>2.9</v>
      </c>
      <c r="I189" s="12">
        <f>109.98/88.4</f>
        <v>1.2441176470588236</v>
      </c>
      <c r="J189" s="12">
        <f t="shared" si="4"/>
        <v>19.905882352941177</v>
      </c>
      <c r="K189" s="10">
        <v>5</v>
      </c>
      <c r="L189" s="12">
        <f>(((140-Questionnaire!B190)*Questionnaire!Y190)/(72*Results!I189))*0.85</f>
        <v>54.894437877593901</v>
      </c>
      <c r="M189" s="12">
        <f t="shared" si="5"/>
        <v>0.4521276595744681</v>
      </c>
      <c r="N189">
        <v>135</v>
      </c>
      <c r="O189">
        <v>4.0999999999999996</v>
      </c>
      <c r="P189">
        <v>97</v>
      </c>
    </row>
    <row r="190" spans="1:16" x14ac:dyDescent="0.25">
      <c r="A190">
        <f>Questionnaire!A191</f>
        <v>189</v>
      </c>
      <c r="B190" s="22" t="s">
        <v>11</v>
      </c>
      <c r="C190" s="25">
        <v>0.13</v>
      </c>
      <c r="D190" s="6">
        <v>33</v>
      </c>
      <c r="E190" s="10">
        <v>5</v>
      </c>
      <c r="F190" s="10">
        <v>1.3</v>
      </c>
      <c r="G190" s="10">
        <v>3</v>
      </c>
      <c r="H190" s="10">
        <v>2.2999999999999998</v>
      </c>
      <c r="I190" s="12">
        <f>137.92/88.4</f>
        <v>1.5601809954751129</v>
      </c>
      <c r="J190" s="12">
        <f t="shared" si="4"/>
        <v>24.962895927601807</v>
      </c>
      <c r="K190" s="10">
        <v>7.1</v>
      </c>
      <c r="L190" s="12">
        <f>((140-Questionnaire!B191)*Questionnaire!Y191)/(72*Results!I190)</f>
        <v>76.558069089971653</v>
      </c>
      <c r="M190" s="12">
        <f t="shared" si="5"/>
        <v>1.3219620069605571</v>
      </c>
      <c r="N190">
        <v>140</v>
      </c>
      <c r="O190">
        <v>4.4000000000000004</v>
      </c>
      <c r="P190">
        <v>104</v>
      </c>
    </row>
    <row r="191" spans="1:16" x14ac:dyDescent="0.25">
      <c r="A191">
        <f>Questionnaire!A192</f>
        <v>190</v>
      </c>
      <c r="B191" s="22" t="s">
        <v>32</v>
      </c>
      <c r="C191" s="24" t="s">
        <v>407</v>
      </c>
      <c r="D191" s="6">
        <v>6</v>
      </c>
      <c r="E191" s="10">
        <v>2</v>
      </c>
      <c r="F191" s="10">
        <v>0.7</v>
      </c>
      <c r="G191" s="10">
        <v>2</v>
      </c>
      <c r="H191" s="10">
        <v>1</v>
      </c>
      <c r="I191" s="12">
        <f>95.56/88.4</f>
        <v>1.0809954751131221</v>
      </c>
      <c r="J191" s="12">
        <f t="shared" si="4"/>
        <v>17.295927601809954</v>
      </c>
      <c r="K191" s="10">
        <v>4.9000000000000004</v>
      </c>
      <c r="L191" s="12">
        <f>(((140-Questionnaire!B192)*Questionnaire!Y192)/(72*Results!I191))*0.85</f>
        <v>63.778661457606624</v>
      </c>
      <c r="M191" s="12">
        <f t="shared" si="5"/>
        <v>0.34690246965257432</v>
      </c>
      <c r="N191">
        <v>142</v>
      </c>
      <c r="O191">
        <v>4</v>
      </c>
      <c r="P191">
        <v>105</v>
      </c>
    </row>
    <row r="192" spans="1:16" x14ac:dyDescent="0.25">
      <c r="A192">
        <f>Questionnaire!A193</f>
        <v>191</v>
      </c>
      <c r="B192" s="22" t="s">
        <v>11</v>
      </c>
      <c r="C192" s="24">
        <v>0.14599999999999999</v>
      </c>
      <c r="D192" s="6">
        <v>42</v>
      </c>
      <c r="E192" s="10">
        <v>4</v>
      </c>
      <c r="F192" s="10">
        <v>1</v>
      </c>
      <c r="G192" s="10">
        <v>5</v>
      </c>
      <c r="H192" s="10">
        <v>0.9</v>
      </c>
      <c r="I192" s="12">
        <f>143.33/88.4</f>
        <v>1.6213800904977376</v>
      </c>
      <c r="J192" s="12">
        <f t="shared" si="4"/>
        <v>25.942081447963801</v>
      </c>
      <c r="K192" s="10">
        <v>5.3</v>
      </c>
      <c r="L192" s="12">
        <f>((140-Questionnaire!B193)*Questionnaire!Y193)/(72*Results!I192)</f>
        <v>40.706062931696088</v>
      </c>
      <c r="M192" s="12">
        <f t="shared" si="5"/>
        <v>1.6189911393288217</v>
      </c>
      <c r="N192">
        <v>145</v>
      </c>
      <c r="O192">
        <v>3.5</v>
      </c>
      <c r="P192">
        <v>106</v>
      </c>
    </row>
    <row r="193" spans="1:16" x14ac:dyDescent="0.25">
      <c r="A193">
        <f>Questionnaire!A194</f>
        <v>192</v>
      </c>
      <c r="B193" s="22" t="s">
        <v>32</v>
      </c>
      <c r="C193" s="24">
        <v>6.5000000000000002E-2</v>
      </c>
      <c r="D193" s="6">
        <v>11</v>
      </c>
      <c r="E193" s="10">
        <v>4</v>
      </c>
      <c r="F193" s="10">
        <v>1.6</v>
      </c>
      <c r="G193" s="10">
        <v>1</v>
      </c>
      <c r="H193" s="10">
        <v>1.8</v>
      </c>
      <c r="I193" s="12">
        <f>76.62/88.4</f>
        <v>0.86674208144796383</v>
      </c>
      <c r="J193" s="12">
        <f t="shared" si="4"/>
        <v>13.867873303167421</v>
      </c>
      <c r="K193" s="10">
        <v>5.8</v>
      </c>
      <c r="L193" s="12">
        <f>(((140-Questionnaire!B194)*Questionnaire!Y194)/(72*Results!I193))*0.85</f>
        <v>65.787544592360561</v>
      </c>
      <c r="M193" s="12">
        <f t="shared" si="5"/>
        <v>0.79320020882276165</v>
      </c>
      <c r="N193">
        <v>139</v>
      </c>
      <c r="O193">
        <v>3.1</v>
      </c>
      <c r="P193">
        <v>103</v>
      </c>
    </row>
    <row r="194" spans="1:16" x14ac:dyDescent="0.25">
      <c r="A194">
        <f>Questionnaire!A195</f>
        <v>193</v>
      </c>
      <c r="B194" s="22" t="s">
        <v>32</v>
      </c>
      <c r="C194" s="24">
        <v>5.8000000000000003E-2</v>
      </c>
      <c r="D194" s="6">
        <v>12</v>
      </c>
      <c r="E194" s="10">
        <v>3</v>
      </c>
      <c r="F194" s="10">
        <v>0.8</v>
      </c>
      <c r="G194" s="10">
        <v>2</v>
      </c>
      <c r="H194" s="10">
        <v>1.3</v>
      </c>
      <c r="I194" s="12">
        <f>101.87/88.4</f>
        <v>1.1523755656108596</v>
      </c>
      <c r="J194" s="12">
        <f t="shared" si="4"/>
        <v>18.438009049773754</v>
      </c>
      <c r="K194" s="10">
        <v>5.2</v>
      </c>
      <c r="L194" s="12">
        <f>(((140-Questionnaire!B195)*Questionnaire!Y195)/(72*Results!I194))*0.85</f>
        <v>34.298714047315201</v>
      </c>
      <c r="M194" s="12">
        <f t="shared" si="5"/>
        <v>0.65082948856385592</v>
      </c>
      <c r="N194">
        <v>126</v>
      </c>
      <c r="O194">
        <v>4</v>
      </c>
      <c r="P194">
        <v>93</v>
      </c>
    </row>
    <row r="195" spans="1:16" x14ac:dyDescent="0.25">
      <c r="A195">
        <f>Questionnaire!A196</f>
        <v>194</v>
      </c>
      <c r="B195" s="22" t="s">
        <v>32</v>
      </c>
      <c r="C195" s="24">
        <v>0.13100000000000001</v>
      </c>
      <c r="D195" s="6">
        <v>11</v>
      </c>
      <c r="E195" s="10">
        <v>4</v>
      </c>
      <c r="F195" s="10">
        <v>1.3</v>
      </c>
      <c r="G195" s="10">
        <v>2</v>
      </c>
      <c r="H195" s="10">
        <v>1.6</v>
      </c>
      <c r="I195" s="12">
        <f>89.25/88.4</f>
        <v>1.0096153846153846</v>
      </c>
      <c r="J195" s="12">
        <f t="shared" ref="J195:J258" si="6">I195*16</f>
        <v>16.153846153846153</v>
      </c>
      <c r="K195" s="10">
        <v>5.7</v>
      </c>
      <c r="L195" s="12">
        <f>(((140-Questionnaire!B196)*Questionnaire!Y196)/(72*Results!I195))*0.85</f>
        <v>56.126984126984119</v>
      </c>
      <c r="M195" s="12">
        <f t="shared" ref="M195:M258" si="7">D195/J195</f>
        <v>0.68095238095238098</v>
      </c>
      <c r="N195">
        <v>144</v>
      </c>
      <c r="O195">
        <v>3.4</v>
      </c>
      <c r="P195">
        <v>110</v>
      </c>
    </row>
    <row r="196" spans="1:16" x14ac:dyDescent="0.25">
      <c r="A196">
        <f>Questionnaire!A197</f>
        <v>195</v>
      </c>
      <c r="B196" s="22" t="s">
        <v>32</v>
      </c>
      <c r="C196" s="24">
        <v>8.7999999999999995E-2</v>
      </c>
      <c r="D196" s="6">
        <v>160</v>
      </c>
      <c r="E196" s="10">
        <v>5</v>
      </c>
      <c r="F196" s="10">
        <v>1.6</v>
      </c>
      <c r="G196" s="10">
        <v>2</v>
      </c>
      <c r="H196" s="10">
        <v>1.7</v>
      </c>
      <c r="I196" s="12">
        <f>101.87/88.4</f>
        <v>1.1523755656108596</v>
      </c>
      <c r="J196" s="12">
        <f t="shared" si="6"/>
        <v>18.438009049773754</v>
      </c>
      <c r="K196" s="10">
        <v>6.2</v>
      </c>
      <c r="L196" s="12">
        <f>(((140-Questionnaire!B197)*Questionnaire!Y197)/(72*Results!I196))*0.85</f>
        <v>39.380005017287829</v>
      </c>
      <c r="M196" s="12">
        <f t="shared" si="7"/>
        <v>8.6777265141847462</v>
      </c>
      <c r="N196">
        <v>141</v>
      </c>
      <c r="O196">
        <v>4.5</v>
      </c>
      <c r="P196">
        <v>107</v>
      </c>
    </row>
    <row r="197" spans="1:16" x14ac:dyDescent="0.25">
      <c r="A197">
        <f>Questionnaire!A198</f>
        <v>196</v>
      </c>
      <c r="B197" s="22" t="s">
        <v>32</v>
      </c>
      <c r="C197" s="24">
        <v>0.108</v>
      </c>
      <c r="D197" s="6">
        <v>20</v>
      </c>
      <c r="E197" s="10">
        <v>5</v>
      </c>
      <c r="F197" s="10">
        <v>1.4</v>
      </c>
      <c r="G197" s="10">
        <v>2</v>
      </c>
      <c r="H197" s="10">
        <v>2.7</v>
      </c>
      <c r="I197" s="12">
        <f>89.25/88.4</f>
        <v>1.0096153846153846</v>
      </c>
      <c r="J197" s="12">
        <f t="shared" si="6"/>
        <v>16.153846153846153</v>
      </c>
      <c r="K197" s="10">
        <v>6.3</v>
      </c>
      <c r="L197" s="12">
        <f>(((140-Questionnaire!B198)*Questionnaire!Y198)/(72*Results!I197))*0.85</f>
        <v>58.044656084656083</v>
      </c>
      <c r="M197" s="12">
        <f t="shared" si="7"/>
        <v>1.2380952380952381</v>
      </c>
      <c r="N197">
        <v>139</v>
      </c>
      <c r="O197">
        <v>3.1</v>
      </c>
      <c r="P197">
        <v>103</v>
      </c>
    </row>
    <row r="198" spans="1:16" x14ac:dyDescent="0.25">
      <c r="A198">
        <f>Questionnaire!A199</f>
        <v>197</v>
      </c>
      <c r="B198" s="22" t="s">
        <v>32</v>
      </c>
      <c r="C198" s="24">
        <v>0.109</v>
      </c>
      <c r="D198" s="6">
        <v>7</v>
      </c>
      <c r="E198" s="10">
        <v>5</v>
      </c>
      <c r="F198" s="10">
        <v>1.2</v>
      </c>
      <c r="G198" s="10">
        <v>2</v>
      </c>
      <c r="H198" s="10">
        <v>2.4</v>
      </c>
      <c r="I198" s="12">
        <f>106.37/88.4</f>
        <v>1.2032805429864253</v>
      </c>
      <c r="J198" s="12">
        <f t="shared" si="6"/>
        <v>19.252488687782805</v>
      </c>
      <c r="K198" s="10">
        <v>3.7</v>
      </c>
      <c r="L198" s="12">
        <f>(((140-Questionnaire!B199)*Questionnaire!Y199)/(72*Results!I198))*0.85</f>
        <v>47.38781297985021</v>
      </c>
      <c r="M198" s="12">
        <f t="shared" si="7"/>
        <v>0.36358935790166402</v>
      </c>
      <c r="N198">
        <v>141</v>
      </c>
      <c r="O198">
        <v>3.4</v>
      </c>
      <c r="P198">
        <v>102</v>
      </c>
    </row>
    <row r="199" spans="1:16" x14ac:dyDescent="0.25">
      <c r="A199">
        <f>Questionnaire!A200</f>
        <v>198</v>
      </c>
      <c r="B199" s="22" t="s">
        <v>32</v>
      </c>
      <c r="C199" s="24">
        <v>7.0000000000000007E-2</v>
      </c>
      <c r="D199" s="6">
        <v>20</v>
      </c>
      <c r="E199" s="10">
        <v>6</v>
      </c>
      <c r="F199" s="10">
        <v>1.3</v>
      </c>
      <c r="G199" s="10">
        <v>3</v>
      </c>
      <c r="H199" s="10">
        <v>3.7</v>
      </c>
      <c r="I199" s="12">
        <f>86.54/88.4</f>
        <v>0.97895927601809951</v>
      </c>
      <c r="J199" s="12">
        <f t="shared" si="6"/>
        <v>15.663348416289592</v>
      </c>
      <c r="K199" s="10">
        <v>3.5</v>
      </c>
      <c r="L199" s="12">
        <f>(((140-Questionnaire!B200)*Questionnaire!Y200)/(72*Results!I199))*0.85</f>
        <v>51.758480343065507</v>
      </c>
      <c r="M199" s="12">
        <f t="shared" si="7"/>
        <v>1.2768661890455282</v>
      </c>
      <c r="N199">
        <v>145</v>
      </c>
      <c r="O199">
        <v>3.8</v>
      </c>
      <c r="P199">
        <v>101</v>
      </c>
    </row>
    <row r="200" spans="1:16" x14ac:dyDescent="0.25">
      <c r="A200">
        <f>Questionnaire!A201</f>
        <v>199</v>
      </c>
      <c r="B200" s="22" t="s">
        <v>32</v>
      </c>
      <c r="C200" s="24">
        <v>0.11700000000000001</v>
      </c>
      <c r="D200" s="6">
        <v>8</v>
      </c>
      <c r="E200" s="10">
        <v>6</v>
      </c>
      <c r="F200" s="10">
        <v>1.6</v>
      </c>
      <c r="G200" s="10">
        <v>1</v>
      </c>
      <c r="H200" s="10">
        <v>2.7</v>
      </c>
      <c r="I200" s="12">
        <f>79.33/88.4</f>
        <v>0.89739819004524879</v>
      </c>
      <c r="J200" s="12">
        <f t="shared" si="6"/>
        <v>14.358371040723981</v>
      </c>
      <c r="K200" s="10">
        <v>5.6</v>
      </c>
      <c r="L200" s="12">
        <f>(((140-Questionnaire!B201)*Questionnaire!Y201)/(72*Results!I200))*0.85</f>
        <v>66.315941145986542</v>
      </c>
      <c r="M200" s="12">
        <f t="shared" si="7"/>
        <v>0.55716626749023068</v>
      </c>
      <c r="N200">
        <v>141</v>
      </c>
      <c r="O200">
        <v>4</v>
      </c>
      <c r="P200">
        <v>106</v>
      </c>
    </row>
    <row r="201" spans="1:16" x14ac:dyDescent="0.25">
      <c r="A201">
        <f>Questionnaire!A202</f>
        <v>200</v>
      </c>
      <c r="B201" s="22" t="s">
        <v>11</v>
      </c>
      <c r="C201" s="24">
        <v>9.4E-2</v>
      </c>
      <c r="D201" s="6">
        <v>7</v>
      </c>
      <c r="E201" s="10">
        <v>6</v>
      </c>
      <c r="F201" s="10">
        <v>1.2</v>
      </c>
      <c r="G201" s="10">
        <v>2</v>
      </c>
      <c r="H201" s="10">
        <v>3</v>
      </c>
      <c r="I201" s="12">
        <f>100.96/88.4</f>
        <v>1.1420814479638008</v>
      </c>
      <c r="J201" s="12">
        <f t="shared" si="6"/>
        <v>18.273303167420814</v>
      </c>
      <c r="K201" s="10">
        <v>5.3</v>
      </c>
      <c r="L201" s="12">
        <f>((140-Questionnaire!B202)*Questionnaire!Y202)/(72*Results!I201)</f>
        <v>49.617010036978343</v>
      </c>
      <c r="M201" s="12">
        <f t="shared" si="7"/>
        <v>0.38307250396196513</v>
      </c>
      <c r="N201">
        <v>131</v>
      </c>
      <c r="O201">
        <v>4.3</v>
      </c>
      <c r="P201">
        <v>94</v>
      </c>
    </row>
    <row r="202" spans="1:16" x14ac:dyDescent="0.25">
      <c r="A202">
        <f>Questionnaire!A203</f>
        <v>201</v>
      </c>
      <c r="B202" s="22" t="s">
        <v>32</v>
      </c>
      <c r="C202" s="24">
        <v>8.7999999999999995E-2</v>
      </c>
      <c r="D202" s="6">
        <v>14</v>
      </c>
      <c r="E202" s="10">
        <v>4</v>
      </c>
      <c r="F202" s="10">
        <v>0.9</v>
      </c>
      <c r="G202" s="10">
        <v>4</v>
      </c>
      <c r="H202" s="10">
        <v>1.7</v>
      </c>
      <c r="I202" s="12">
        <f>70.31/88.4</f>
        <v>0.79536199095022619</v>
      </c>
      <c r="J202" s="12">
        <f t="shared" si="6"/>
        <v>12.725791855203619</v>
      </c>
      <c r="K202" s="10">
        <v>3.6</v>
      </c>
      <c r="L202" s="12">
        <f>(((140-Questionnaire!B203)*Questionnaire!Y203)/(72*Results!I202))*0.85</f>
        <v>80.924019026849351</v>
      </c>
      <c r="M202" s="12">
        <f t="shared" si="7"/>
        <v>1.1001280045512729</v>
      </c>
      <c r="N202">
        <v>142</v>
      </c>
      <c r="O202">
        <v>3.5</v>
      </c>
      <c r="P202">
        <v>109</v>
      </c>
    </row>
    <row r="203" spans="1:16" x14ac:dyDescent="0.25">
      <c r="A203">
        <f>Questionnaire!A204</f>
        <v>202</v>
      </c>
      <c r="B203" s="22" t="s">
        <v>32</v>
      </c>
      <c r="C203" s="24">
        <v>0.14199999999999999</v>
      </c>
      <c r="D203" s="6">
        <v>160</v>
      </c>
      <c r="E203" s="10">
        <v>3</v>
      </c>
      <c r="F203" s="10">
        <v>1.1000000000000001</v>
      </c>
      <c r="G203" s="10">
        <v>1</v>
      </c>
      <c r="H203" s="10">
        <v>0.9</v>
      </c>
      <c r="I203" s="12">
        <f>328.13/88.4</f>
        <v>3.7118778280542983</v>
      </c>
      <c r="J203" s="12">
        <f t="shared" si="6"/>
        <v>59.390045248868773</v>
      </c>
      <c r="K203" s="10">
        <v>21.8</v>
      </c>
      <c r="L203" s="12">
        <f>(((140-Questionnaire!B204)*Questionnaire!Y204)/(72*Results!I203))*0.85</f>
        <v>12.880946576052175</v>
      </c>
      <c r="M203" s="12">
        <f t="shared" si="7"/>
        <v>2.6940541858409777</v>
      </c>
      <c r="N203">
        <v>138</v>
      </c>
      <c r="O203">
        <v>4.5</v>
      </c>
      <c r="P203">
        <v>104</v>
      </c>
    </row>
    <row r="204" spans="1:16" x14ac:dyDescent="0.25">
      <c r="A204">
        <f>Questionnaire!A205</f>
        <v>203</v>
      </c>
      <c r="B204" s="22" t="s">
        <v>32</v>
      </c>
      <c r="C204" s="24">
        <v>0.13300000000000001</v>
      </c>
      <c r="D204" s="6">
        <v>160</v>
      </c>
      <c r="E204" s="10">
        <v>4</v>
      </c>
      <c r="F204" s="10">
        <v>1.3</v>
      </c>
      <c r="G204" s="10">
        <v>2</v>
      </c>
      <c r="H204" s="10">
        <v>1.6</v>
      </c>
      <c r="I204" s="12">
        <f>156.86/88.4</f>
        <v>1.7744343891402716</v>
      </c>
      <c r="J204" s="12">
        <f t="shared" si="6"/>
        <v>28.390950226244346</v>
      </c>
      <c r="K204" s="10">
        <v>8.8000000000000007</v>
      </c>
      <c r="L204" s="12">
        <f>(((140-Questionnaire!B205)*Questionnaire!Y205)/(72*Results!I204))*0.85</f>
        <v>25.408331208296143</v>
      </c>
      <c r="M204" s="12">
        <f t="shared" si="7"/>
        <v>5.6355986229759019</v>
      </c>
      <c r="N204">
        <v>139</v>
      </c>
      <c r="O204">
        <v>4.5</v>
      </c>
      <c r="P204">
        <v>102</v>
      </c>
    </row>
    <row r="205" spans="1:16" x14ac:dyDescent="0.25">
      <c r="A205">
        <f>Questionnaire!A206</f>
        <v>204</v>
      </c>
      <c r="B205" s="22" t="s">
        <v>32</v>
      </c>
      <c r="C205" s="24">
        <v>0.13900000000000001</v>
      </c>
      <c r="D205" s="6">
        <v>5</v>
      </c>
      <c r="E205" s="10">
        <v>4</v>
      </c>
      <c r="F205" s="10">
        <v>1.9</v>
      </c>
      <c r="G205" s="10">
        <v>1</v>
      </c>
      <c r="H205" s="10">
        <v>1.9</v>
      </c>
      <c r="I205" s="12">
        <f>84.74/88.4</f>
        <v>0.95859728506787323</v>
      </c>
      <c r="J205" s="12">
        <f t="shared" si="6"/>
        <v>15.337556561085972</v>
      </c>
      <c r="K205" s="10">
        <v>2.7</v>
      </c>
      <c r="L205" s="12">
        <f>(((140-Questionnaire!B206)*Questionnaire!Y206)/(72*Results!I205))*0.85</f>
        <v>66.996040175176361</v>
      </c>
      <c r="M205" s="12">
        <f t="shared" si="7"/>
        <v>0.32599716780741095</v>
      </c>
      <c r="N205">
        <v>143</v>
      </c>
      <c r="O205">
        <v>3.9</v>
      </c>
      <c r="P205">
        <v>106</v>
      </c>
    </row>
    <row r="206" spans="1:16" x14ac:dyDescent="0.25">
      <c r="A206">
        <f>Questionnaire!A207</f>
        <v>205</v>
      </c>
      <c r="B206" s="30" t="s">
        <v>32</v>
      </c>
      <c r="C206" s="24">
        <v>0.10100000000000001</v>
      </c>
      <c r="D206" s="6">
        <v>22</v>
      </c>
      <c r="E206" s="10">
        <v>6</v>
      </c>
      <c r="F206" s="10">
        <v>1.9</v>
      </c>
      <c r="G206" s="10">
        <v>1</v>
      </c>
      <c r="H206" s="10">
        <v>3.7</v>
      </c>
      <c r="I206" s="12">
        <f>112.52/88.4</f>
        <v>1.2728506787330316</v>
      </c>
      <c r="J206" s="12">
        <f t="shared" si="6"/>
        <v>20.365610859728505</v>
      </c>
      <c r="K206" s="10">
        <v>4.2</v>
      </c>
      <c r="L206" s="12">
        <f>(((140-Questionnaire!B207)*Questionnaire!Y207)/(72*Results!I206))*0.85</f>
        <v>35.198224019433582</v>
      </c>
      <c r="M206" s="12">
        <f t="shared" si="7"/>
        <v>1.0802523995734092</v>
      </c>
      <c r="N206">
        <v>143</v>
      </c>
      <c r="O206">
        <v>4.4000000000000004</v>
      </c>
      <c r="P206">
        <v>110</v>
      </c>
    </row>
    <row r="207" spans="1:16" x14ac:dyDescent="0.25">
      <c r="A207">
        <f>Questionnaire!A208</f>
        <v>206</v>
      </c>
      <c r="B207" s="30" t="s">
        <v>11</v>
      </c>
      <c r="C207" s="24">
        <v>0.10100000000000001</v>
      </c>
      <c r="D207" s="6">
        <v>5</v>
      </c>
      <c r="E207" s="10">
        <v>2</v>
      </c>
      <c r="F207" s="10">
        <v>1.1000000000000001</v>
      </c>
      <c r="G207" s="10">
        <v>1</v>
      </c>
      <c r="H207" s="10">
        <v>0.9</v>
      </c>
      <c r="I207" s="12">
        <f>111.64/88.4</f>
        <v>1.2628959276018099</v>
      </c>
      <c r="J207" s="12">
        <f t="shared" si="6"/>
        <v>20.206334841628959</v>
      </c>
      <c r="K207" s="10">
        <v>4.5</v>
      </c>
      <c r="L207" s="12">
        <f>((140-Questionnaire!B208)*Questionnaire!Y208)/(72*Results!I207)</f>
        <v>75.223934073808664</v>
      </c>
      <c r="M207" s="12">
        <f t="shared" si="7"/>
        <v>0.24744715155858116</v>
      </c>
      <c r="N207">
        <v>134</v>
      </c>
      <c r="O207">
        <v>4</v>
      </c>
      <c r="P207">
        <v>99</v>
      </c>
    </row>
    <row r="208" spans="1:16" x14ac:dyDescent="0.25">
      <c r="A208">
        <f>Questionnaire!A209</f>
        <v>207</v>
      </c>
      <c r="B208" s="30" t="s">
        <v>11</v>
      </c>
      <c r="C208" s="24">
        <v>0.111</v>
      </c>
      <c r="D208" s="6">
        <v>4</v>
      </c>
      <c r="E208" s="10">
        <v>3</v>
      </c>
      <c r="F208" s="10">
        <v>1</v>
      </c>
      <c r="G208" s="10">
        <v>2</v>
      </c>
      <c r="H208" s="10">
        <v>1.8</v>
      </c>
      <c r="I208" s="12">
        <f>102.05/88.4</f>
        <v>1.1544117647058822</v>
      </c>
      <c r="J208" s="12">
        <f t="shared" si="6"/>
        <v>18.470588235294116</v>
      </c>
      <c r="K208" s="10">
        <v>4.5999999999999996</v>
      </c>
      <c r="L208" s="12">
        <f>((140-Questionnaire!B209)*Questionnaire!Y209)/(72*Results!I208)</f>
        <v>44.418966737438076</v>
      </c>
      <c r="M208" s="12">
        <f t="shared" si="7"/>
        <v>0.21656050955414013</v>
      </c>
      <c r="N208">
        <v>140</v>
      </c>
      <c r="O208">
        <v>3.7</v>
      </c>
      <c r="P208">
        <v>105</v>
      </c>
    </row>
    <row r="209" spans="1:16" x14ac:dyDescent="0.25">
      <c r="A209">
        <f>Questionnaire!A210</f>
        <v>208</v>
      </c>
      <c r="B209" s="30" t="s">
        <v>32</v>
      </c>
      <c r="C209" s="24">
        <v>0.13500000000000001</v>
      </c>
      <c r="D209" s="6">
        <v>119</v>
      </c>
      <c r="E209" s="10">
        <v>6</v>
      </c>
      <c r="F209" s="10">
        <v>1.3</v>
      </c>
      <c r="G209" s="10">
        <v>2</v>
      </c>
      <c r="H209" s="10">
        <v>4</v>
      </c>
      <c r="I209" s="12">
        <v>0.9</v>
      </c>
      <c r="J209" s="12">
        <f t="shared" si="6"/>
        <v>14.4</v>
      </c>
      <c r="K209" s="10">
        <v>3.7</v>
      </c>
      <c r="L209" s="12">
        <f>(((140-Questionnaire!B210)*Questionnaire!Y210)/(72*Results!I209))*0.85</f>
        <v>93.5</v>
      </c>
      <c r="M209" s="12">
        <f t="shared" si="7"/>
        <v>8.2638888888888893</v>
      </c>
      <c r="N209">
        <v>142</v>
      </c>
      <c r="O209">
        <v>4.0999999999999996</v>
      </c>
      <c r="P209">
        <v>107</v>
      </c>
    </row>
    <row r="210" spans="1:16" x14ac:dyDescent="0.25">
      <c r="A210">
        <f>Questionnaire!A211</f>
        <v>209</v>
      </c>
      <c r="B210" s="30" t="s">
        <v>32</v>
      </c>
      <c r="C210" s="25">
        <v>0.08</v>
      </c>
      <c r="D210" s="6">
        <v>10</v>
      </c>
      <c r="E210" s="10">
        <v>4</v>
      </c>
      <c r="F210" s="10">
        <v>1.8</v>
      </c>
      <c r="G210" s="10">
        <v>2</v>
      </c>
      <c r="H210" s="10">
        <v>2</v>
      </c>
      <c r="I210" s="12">
        <f>99.43/88.4</f>
        <v>1.1247737556561086</v>
      </c>
      <c r="J210" s="12">
        <f t="shared" si="6"/>
        <v>17.996380090497738</v>
      </c>
      <c r="K210" s="10">
        <v>4.2</v>
      </c>
      <c r="L210" s="12">
        <f>(((140-Questionnaire!B211)*Questionnaire!Y211)/(72*Results!I210))*0.85</f>
        <v>56.678064970330894</v>
      </c>
      <c r="M210" s="12">
        <f t="shared" si="7"/>
        <v>0.55566730363069494</v>
      </c>
      <c r="N210">
        <v>145</v>
      </c>
      <c r="O210">
        <v>3.8</v>
      </c>
      <c r="P210">
        <v>107</v>
      </c>
    </row>
    <row r="211" spans="1:16" x14ac:dyDescent="0.25">
      <c r="A211">
        <f>Questionnaire!A212</f>
        <v>210</v>
      </c>
      <c r="B211" s="30" t="s">
        <v>62</v>
      </c>
      <c r="C211" s="24">
        <v>0.115</v>
      </c>
      <c r="D211" s="6">
        <v>11</v>
      </c>
      <c r="E211" s="10">
        <v>6</v>
      </c>
      <c r="F211" s="10">
        <v>1.8</v>
      </c>
      <c r="G211" s="10">
        <v>2</v>
      </c>
      <c r="H211" s="10">
        <v>3.5</v>
      </c>
      <c r="I211" s="12">
        <f>86.35/88.4</f>
        <v>0.97680995475113108</v>
      </c>
      <c r="J211" s="12">
        <f t="shared" si="6"/>
        <v>15.628959276018097</v>
      </c>
      <c r="K211" s="10">
        <v>8.6</v>
      </c>
      <c r="L211" s="12">
        <f>(((140-Questionnaire!B212)*Questionnaire!Y212)/(72*Results!I211))*0.85</f>
        <v>82.183619635848956</v>
      </c>
      <c r="M211" s="12">
        <f t="shared" si="7"/>
        <v>0.70382165605095548</v>
      </c>
      <c r="N211">
        <v>144</v>
      </c>
      <c r="O211">
        <v>4.0999999999999996</v>
      </c>
      <c r="P211">
        <v>110</v>
      </c>
    </row>
    <row r="212" spans="1:16" x14ac:dyDescent="0.25">
      <c r="A212">
        <f>Questionnaire!A213</f>
        <v>211</v>
      </c>
      <c r="B212" s="30" t="s">
        <v>32</v>
      </c>
      <c r="C212" s="24">
        <v>9.9000000000000005E-2</v>
      </c>
      <c r="D212" s="6">
        <v>9</v>
      </c>
      <c r="E212" s="10">
        <v>4</v>
      </c>
      <c r="F212" s="10">
        <v>1.5</v>
      </c>
      <c r="G212" s="10">
        <v>1</v>
      </c>
      <c r="H212" s="10">
        <v>2.8</v>
      </c>
      <c r="I212" s="12">
        <f>83.73/88.4</f>
        <v>0.94717194570135743</v>
      </c>
      <c r="J212" s="12">
        <f t="shared" si="6"/>
        <v>15.154751131221719</v>
      </c>
      <c r="K212" s="10">
        <v>3.7</v>
      </c>
      <c r="L212" s="12">
        <f>(((140-Questionnaire!B213)*Questionnaire!Y213)/(72*Results!I212))*0.85</f>
        <v>44.870416815956048</v>
      </c>
      <c r="M212" s="12">
        <f t="shared" si="7"/>
        <v>0.59387316374059484</v>
      </c>
      <c r="N212">
        <v>146</v>
      </c>
      <c r="O212">
        <v>4.5999999999999996</v>
      </c>
      <c r="P212">
        <v>109</v>
      </c>
    </row>
    <row r="213" spans="1:16" x14ac:dyDescent="0.25">
      <c r="A213">
        <f>Questionnaire!A214</f>
        <v>212</v>
      </c>
      <c r="B213" s="30" t="s">
        <v>32</v>
      </c>
      <c r="C213" s="25">
        <v>0.1</v>
      </c>
      <c r="D213" s="6">
        <v>4</v>
      </c>
      <c r="E213" s="10">
        <v>4</v>
      </c>
      <c r="F213" s="10">
        <v>1.7</v>
      </c>
      <c r="G213" s="10">
        <v>2</v>
      </c>
      <c r="H213" s="10">
        <v>1.7</v>
      </c>
      <c r="I213" s="12">
        <f>72.39/88.4</f>
        <v>0.8188914027149321</v>
      </c>
      <c r="J213" s="12">
        <f t="shared" si="6"/>
        <v>13.102262443438914</v>
      </c>
      <c r="K213" s="10">
        <v>3.8</v>
      </c>
      <c r="L213" s="12">
        <f>(((140-Questionnaire!B214)*Questionnaire!Y214)/(72*Results!I213))*0.85</f>
        <v>67.469263710457241</v>
      </c>
      <c r="M213" s="12">
        <f t="shared" si="7"/>
        <v>0.30529078602016851</v>
      </c>
      <c r="N213">
        <v>144</v>
      </c>
      <c r="O213">
        <v>3.6</v>
      </c>
      <c r="P213">
        <v>109</v>
      </c>
    </row>
    <row r="214" spans="1:16" x14ac:dyDescent="0.25">
      <c r="A214">
        <f>Questionnaire!A215</f>
        <v>213</v>
      </c>
      <c r="B214" s="30" t="s">
        <v>11</v>
      </c>
      <c r="C214" s="24">
        <v>0.105</v>
      </c>
      <c r="D214" s="6">
        <v>8</v>
      </c>
      <c r="E214" s="10">
        <v>3</v>
      </c>
      <c r="F214" s="10">
        <v>1.4</v>
      </c>
      <c r="G214" s="10">
        <v>0</v>
      </c>
      <c r="H214" s="10">
        <v>0.9</v>
      </c>
      <c r="I214" s="12">
        <f>112.52/88.4</f>
        <v>1.2728506787330316</v>
      </c>
      <c r="J214" s="12">
        <f t="shared" si="6"/>
        <v>20.365610859728505</v>
      </c>
      <c r="K214" s="10">
        <v>6.2</v>
      </c>
      <c r="L214" s="12">
        <f>((140-Questionnaire!B215)*Questionnaire!Y215)/(72*Results!I214)</f>
        <v>56.467739068610022</v>
      </c>
      <c r="M214" s="12">
        <f t="shared" si="7"/>
        <v>0.39281905439033066</v>
      </c>
      <c r="N214">
        <v>138</v>
      </c>
      <c r="O214">
        <v>3.2</v>
      </c>
      <c r="P214">
        <v>100</v>
      </c>
    </row>
    <row r="215" spans="1:16" x14ac:dyDescent="0.25">
      <c r="A215">
        <f>Questionnaire!A216</f>
        <v>214</v>
      </c>
      <c r="B215" s="30" t="s">
        <v>11</v>
      </c>
      <c r="C215" s="24">
        <v>7.1999999999999995E-2</v>
      </c>
      <c r="D215" s="6">
        <v>4</v>
      </c>
      <c r="E215" s="10">
        <v>3</v>
      </c>
      <c r="F215" s="10">
        <v>1.3</v>
      </c>
      <c r="G215" s="10">
        <v>1</v>
      </c>
      <c r="H215" s="10">
        <v>1.9</v>
      </c>
      <c r="I215" s="12">
        <f>88.09/88.4</f>
        <v>0.99649321266968327</v>
      </c>
      <c r="J215" s="12">
        <f t="shared" si="6"/>
        <v>15.943891402714932</v>
      </c>
      <c r="K215" s="10">
        <v>3.4</v>
      </c>
      <c r="L215" s="12">
        <f>((140-Questionnaire!B216)*Questionnaire!Y216)/(72*Results!I215)</f>
        <v>63.472584856396864</v>
      </c>
      <c r="M215" s="12">
        <f t="shared" si="7"/>
        <v>0.25087978204109435</v>
      </c>
      <c r="N215">
        <v>143</v>
      </c>
      <c r="O215">
        <v>4.2</v>
      </c>
      <c r="P215">
        <v>110</v>
      </c>
    </row>
    <row r="216" spans="1:16" x14ac:dyDescent="0.25">
      <c r="A216">
        <f>Questionnaire!A217</f>
        <v>215</v>
      </c>
      <c r="B216" s="30" t="s">
        <v>11</v>
      </c>
      <c r="C216" s="24">
        <v>5.0999999999999997E-2</v>
      </c>
      <c r="D216" s="6">
        <v>4</v>
      </c>
      <c r="E216" s="10">
        <v>3</v>
      </c>
      <c r="F216" s="10">
        <v>1</v>
      </c>
      <c r="G216" s="10">
        <v>1</v>
      </c>
      <c r="H216" s="10">
        <v>1.7</v>
      </c>
      <c r="I216" s="12">
        <f>135.19/88.4</f>
        <v>1.5292986425339365</v>
      </c>
      <c r="J216" s="12">
        <f t="shared" si="6"/>
        <v>24.468778280542985</v>
      </c>
      <c r="K216" s="10">
        <v>7.4</v>
      </c>
      <c r="L216" s="12">
        <f>((140-Questionnaire!B217)*Questionnaire!Y217)/(72*Results!I216)</f>
        <v>48.07032900198076</v>
      </c>
      <c r="M216" s="12">
        <f t="shared" si="7"/>
        <v>0.16347362970633925</v>
      </c>
      <c r="N216">
        <v>140</v>
      </c>
      <c r="O216">
        <v>4.8</v>
      </c>
      <c r="P216">
        <v>103</v>
      </c>
    </row>
    <row r="217" spans="1:16" x14ac:dyDescent="0.25">
      <c r="A217">
        <f>Questionnaire!A218</f>
        <v>216</v>
      </c>
      <c r="B217" s="30" t="s">
        <v>32</v>
      </c>
      <c r="C217" s="54" t="s">
        <v>407</v>
      </c>
      <c r="D217" s="6">
        <v>7</v>
      </c>
      <c r="E217" s="10">
        <v>3</v>
      </c>
      <c r="F217" s="10">
        <v>1.5</v>
      </c>
      <c r="G217" s="10">
        <v>1</v>
      </c>
      <c r="H217" s="10">
        <v>1.7</v>
      </c>
      <c r="I217" s="12">
        <f>92.45/88.4</f>
        <v>1.0458144796380091</v>
      </c>
      <c r="J217" s="12">
        <f t="shared" si="6"/>
        <v>16.733031674208146</v>
      </c>
      <c r="K217" s="10">
        <v>2.9</v>
      </c>
      <c r="L217" s="12">
        <f>(((140-Questionnaire!B218)*Questionnaire!Y218)/(72*Results!I217))*0.85</f>
        <v>86.864115738236876</v>
      </c>
      <c r="M217" s="12">
        <f t="shared" si="7"/>
        <v>0.41833423472147102</v>
      </c>
      <c r="N217">
        <v>139</v>
      </c>
      <c r="O217">
        <v>3.7</v>
      </c>
      <c r="P217">
        <v>102</v>
      </c>
    </row>
    <row r="218" spans="1:16" x14ac:dyDescent="0.25">
      <c r="A218">
        <f>Questionnaire!A219</f>
        <v>217</v>
      </c>
      <c r="B218" s="30" t="s">
        <v>32</v>
      </c>
      <c r="C218" s="24">
        <v>6.6000000000000003E-2</v>
      </c>
      <c r="D218" s="6">
        <v>16</v>
      </c>
      <c r="E218" s="10">
        <v>5</v>
      </c>
      <c r="F218" s="10">
        <v>1.2</v>
      </c>
      <c r="G218" s="10">
        <v>3</v>
      </c>
      <c r="H218" s="10">
        <v>2.4</v>
      </c>
      <c r="I218" s="12">
        <f>89.84/88.4</f>
        <v>1.0162895927601809</v>
      </c>
      <c r="J218" s="12">
        <f t="shared" si="6"/>
        <v>16.260633484162895</v>
      </c>
      <c r="K218" s="10">
        <v>5.8</v>
      </c>
      <c r="L218" s="12">
        <f>(((140-Questionnaire!B219)*Questionnaire!Y219)/(72*Results!I218))*0.85</f>
        <v>59.475610962699115</v>
      </c>
      <c r="M218" s="12">
        <f t="shared" si="7"/>
        <v>0.98397150489759577</v>
      </c>
      <c r="N218">
        <v>143</v>
      </c>
      <c r="O218">
        <v>4.2</v>
      </c>
      <c r="P218">
        <v>106</v>
      </c>
    </row>
    <row r="219" spans="1:16" x14ac:dyDescent="0.25">
      <c r="A219">
        <f>Questionnaire!A220</f>
        <v>218</v>
      </c>
      <c r="B219" s="30" t="s">
        <v>32</v>
      </c>
      <c r="C219" s="24">
        <v>4.8000000000000001E-2</v>
      </c>
      <c r="D219" s="54">
        <v>4</v>
      </c>
      <c r="E219" s="10">
        <v>6</v>
      </c>
      <c r="F219" s="10">
        <v>1.4</v>
      </c>
      <c r="G219" s="10">
        <v>3</v>
      </c>
      <c r="H219" s="10">
        <v>3.3</v>
      </c>
      <c r="I219" s="12">
        <v>0.64</v>
      </c>
      <c r="J219" s="12">
        <f t="shared" si="6"/>
        <v>10.24</v>
      </c>
      <c r="K219" s="10">
        <v>3.2</v>
      </c>
      <c r="L219" s="12">
        <f>(((140-Questionnaire!B220)*Questionnaire!Y220)/(72*Results!I219))*0.85</f>
        <v>97.211371527777771</v>
      </c>
      <c r="M219" s="12">
        <f t="shared" si="7"/>
        <v>0.390625</v>
      </c>
      <c r="N219">
        <v>143</v>
      </c>
      <c r="O219">
        <v>4.2</v>
      </c>
      <c r="P219">
        <v>105</v>
      </c>
    </row>
    <row r="220" spans="1:16" x14ac:dyDescent="0.25">
      <c r="A220">
        <f>Questionnaire!A221</f>
        <v>219</v>
      </c>
      <c r="B220" s="30" t="s">
        <v>11</v>
      </c>
      <c r="C220" s="25">
        <v>7.5999999999999998E-2</v>
      </c>
      <c r="D220" s="54">
        <v>160</v>
      </c>
      <c r="E220" s="10">
        <v>5</v>
      </c>
      <c r="F220" s="10">
        <v>2.2000000000000002</v>
      </c>
      <c r="G220" s="10">
        <v>1</v>
      </c>
      <c r="H220" s="10">
        <v>1.9</v>
      </c>
      <c r="I220" s="12">
        <f>85.48/88.4</f>
        <v>0.96696832579185521</v>
      </c>
      <c r="J220" s="12">
        <f t="shared" si="6"/>
        <v>15.471493212669683</v>
      </c>
      <c r="K220" s="10">
        <v>6.4</v>
      </c>
      <c r="L220" s="12">
        <f>((140-Questionnaire!B221)*Questionnaire!Y221)/(72*Results!I220)</f>
        <v>60.814355534757972</v>
      </c>
      <c r="M220" s="12">
        <f t="shared" si="7"/>
        <v>10.341600374356574</v>
      </c>
      <c r="N220">
        <v>142</v>
      </c>
      <c r="O220">
        <v>3.8</v>
      </c>
      <c r="P220">
        <v>107</v>
      </c>
    </row>
    <row r="221" spans="1:16" x14ac:dyDescent="0.25">
      <c r="A221">
        <f>Questionnaire!A222</f>
        <v>220</v>
      </c>
      <c r="B221" s="30" t="s">
        <v>32</v>
      </c>
      <c r="C221" s="24">
        <v>8.8999999999999996E-2</v>
      </c>
      <c r="D221" s="6">
        <v>47</v>
      </c>
      <c r="E221" s="10">
        <v>4</v>
      </c>
      <c r="F221" s="10">
        <v>1.9</v>
      </c>
      <c r="G221" s="10">
        <v>0</v>
      </c>
      <c r="H221" s="10">
        <v>2.4</v>
      </c>
      <c r="I221" s="12">
        <f>73.27/88.4</f>
        <v>0.82884615384615379</v>
      </c>
      <c r="J221" s="12">
        <f t="shared" si="6"/>
        <v>13.261538461538461</v>
      </c>
      <c r="K221" s="10">
        <v>4.0999999999999996</v>
      </c>
      <c r="L221" s="12">
        <f>(((140-Questionnaire!B222)*Questionnaire!Y222)/(72*Results!I221))*0.85</f>
        <v>76.201985047692702</v>
      </c>
      <c r="M221" s="12">
        <f t="shared" si="7"/>
        <v>3.5440835266821349</v>
      </c>
      <c r="N221">
        <v>143</v>
      </c>
      <c r="O221">
        <v>3.2</v>
      </c>
      <c r="P221">
        <v>103</v>
      </c>
    </row>
    <row r="222" spans="1:16" x14ac:dyDescent="0.25">
      <c r="A222">
        <f>Questionnaire!A223</f>
        <v>221</v>
      </c>
      <c r="B222" s="30" t="s">
        <v>11</v>
      </c>
      <c r="C222" s="24">
        <v>6.9000000000000006E-2</v>
      </c>
      <c r="D222" s="6">
        <v>11</v>
      </c>
      <c r="E222" s="10">
        <v>4</v>
      </c>
      <c r="F222" s="10">
        <v>1.4</v>
      </c>
      <c r="G222" s="10">
        <v>0</v>
      </c>
      <c r="H222" s="10">
        <v>2.1</v>
      </c>
      <c r="I222" s="12">
        <f>125.6/88.4</f>
        <v>1.4208144796380089</v>
      </c>
      <c r="J222" s="12">
        <f t="shared" si="6"/>
        <v>22.733031674208142</v>
      </c>
      <c r="K222" s="10">
        <v>7.4</v>
      </c>
      <c r="L222" s="12">
        <f>((140-Questionnaire!B223)*Questionnaire!Y223)/(72*Results!I222)</f>
        <v>37.488278485491861</v>
      </c>
      <c r="M222" s="12">
        <f t="shared" si="7"/>
        <v>0.48387738853503193</v>
      </c>
      <c r="N222">
        <v>136</v>
      </c>
      <c r="O222">
        <v>3.7</v>
      </c>
      <c r="P222">
        <v>101</v>
      </c>
    </row>
    <row r="223" spans="1:16" x14ac:dyDescent="0.25">
      <c r="A223">
        <f>Questionnaire!A224</f>
        <v>222</v>
      </c>
      <c r="B223" s="30" t="s">
        <v>11</v>
      </c>
      <c r="C223" s="24">
        <v>0.14599999999999999</v>
      </c>
      <c r="D223" s="54">
        <v>4</v>
      </c>
      <c r="E223" s="10">
        <v>6</v>
      </c>
      <c r="F223" s="10">
        <v>2</v>
      </c>
      <c r="G223" s="10">
        <v>1</v>
      </c>
      <c r="H223" s="10">
        <v>3.1</v>
      </c>
      <c r="I223" s="12">
        <f>95.07/88.4</f>
        <v>1.0754524886877828</v>
      </c>
      <c r="J223" s="12">
        <f t="shared" si="6"/>
        <v>17.207239819004524</v>
      </c>
      <c r="K223" s="10">
        <v>6.7</v>
      </c>
      <c r="L223" s="12">
        <f>((140-Questionnaire!B224)*Questionnaire!Y224)/(72*Results!I223)</f>
        <v>41.946168320418877</v>
      </c>
      <c r="M223" s="12">
        <f t="shared" si="7"/>
        <v>0.23246029241611446</v>
      </c>
      <c r="N223">
        <v>138</v>
      </c>
      <c r="O223">
        <v>4.2</v>
      </c>
      <c r="P223">
        <v>103</v>
      </c>
    </row>
    <row r="224" spans="1:16" x14ac:dyDescent="0.25">
      <c r="A224">
        <f>Questionnaire!A225</f>
        <v>223</v>
      </c>
      <c r="B224" s="30" t="s">
        <v>11</v>
      </c>
      <c r="C224" s="25">
        <v>0.13</v>
      </c>
      <c r="D224" s="54">
        <v>4</v>
      </c>
      <c r="E224" s="10">
        <v>4</v>
      </c>
      <c r="F224" s="10">
        <v>1</v>
      </c>
      <c r="G224" s="10">
        <v>1</v>
      </c>
      <c r="H224" s="10">
        <v>2.1</v>
      </c>
      <c r="I224" s="12">
        <f>136.94/88.4</f>
        <v>1.5490950226244342</v>
      </c>
      <c r="J224" s="12">
        <f t="shared" si="6"/>
        <v>24.785520361990947</v>
      </c>
      <c r="K224" s="10">
        <v>5.8</v>
      </c>
      <c r="L224" s="12">
        <f>((140-Questionnaire!B225)*Questionnaire!Y225)/(72*Results!I224)</f>
        <v>46.622202748973599</v>
      </c>
      <c r="M224" s="12">
        <f t="shared" si="7"/>
        <v>0.16138454797721632</v>
      </c>
      <c r="N224">
        <v>139</v>
      </c>
      <c r="O224">
        <v>2.8</v>
      </c>
      <c r="P224">
        <v>100</v>
      </c>
    </row>
    <row r="225" spans="1:16" x14ac:dyDescent="0.25">
      <c r="A225">
        <f>Questionnaire!A226</f>
        <v>224</v>
      </c>
      <c r="B225" s="30" t="s">
        <v>32</v>
      </c>
      <c r="C225" s="24">
        <v>0.13400000000000001</v>
      </c>
      <c r="D225" s="6">
        <v>24</v>
      </c>
      <c r="E225" s="10">
        <v>5</v>
      </c>
      <c r="F225" s="10">
        <v>1.6</v>
      </c>
      <c r="G225" s="10">
        <v>1</v>
      </c>
      <c r="H225" s="10">
        <v>3.1</v>
      </c>
      <c r="I225" s="12">
        <f>142.17/88.4</f>
        <v>1.608257918552036</v>
      </c>
      <c r="J225" s="12">
        <f t="shared" si="6"/>
        <v>25.732126696832577</v>
      </c>
      <c r="K225" s="10">
        <v>9.1</v>
      </c>
      <c r="L225" s="12">
        <f>(((140-Questionnaire!B226)*Questionnaire!Y226)/(72*Results!I225))*0.85</f>
        <v>41.026535133994514</v>
      </c>
      <c r="M225" s="12">
        <f t="shared" si="7"/>
        <v>0.93268622072167129</v>
      </c>
      <c r="N225">
        <v>139</v>
      </c>
      <c r="O225">
        <v>4.5</v>
      </c>
      <c r="P225">
        <v>103</v>
      </c>
    </row>
    <row r="226" spans="1:16" x14ac:dyDescent="0.25">
      <c r="A226">
        <f>Questionnaire!A227</f>
        <v>225</v>
      </c>
      <c r="B226" s="30" t="s">
        <v>11</v>
      </c>
      <c r="C226" s="24">
        <v>0.112</v>
      </c>
      <c r="D226" s="6">
        <v>15</v>
      </c>
      <c r="E226" s="10">
        <v>3</v>
      </c>
      <c r="F226" s="10">
        <v>0.9</v>
      </c>
      <c r="G226" s="10">
        <v>2</v>
      </c>
      <c r="H226" s="10">
        <v>1.2</v>
      </c>
      <c r="I226" s="12">
        <f>176.19/88.4</f>
        <v>1.993099547511312</v>
      </c>
      <c r="J226" s="12">
        <f t="shared" si="6"/>
        <v>31.889592760180992</v>
      </c>
      <c r="K226" s="10">
        <v>9.1</v>
      </c>
      <c r="L226" s="12">
        <f>((140-Questionnaire!B227)*Questionnaire!Y227)/(72*Results!I226)</f>
        <v>45.608749393016382</v>
      </c>
      <c r="M226" s="12">
        <f t="shared" si="7"/>
        <v>0.47037289289971057</v>
      </c>
      <c r="N226">
        <v>141</v>
      </c>
      <c r="O226">
        <v>4.2</v>
      </c>
      <c r="P226">
        <v>107</v>
      </c>
    </row>
    <row r="227" spans="1:16" x14ac:dyDescent="0.25">
      <c r="A227">
        <f>Questionnaire!A228</f>
        <v>226</v>
      </c>
      <c r="B227" s="30" t="s">
        <v>11</v>
      </c>
      <c r="C227" s="24">
        <v>0.11899999999999999</v>
      </c>
      <c r="D227" s="6">
        <v>105</v>
      </c>
      <c r="E227" s="10">
        <v>3</v>
      </c>
      <c r="F227" s="10">
        <v>1.1000000000000001</v>
      </c>
      <c r="G227" s="10">
        <v>1</v>
      </c>
      <c r="H227" s="10">
        <v>1.7</v>
      </c>
      <c r="I227" s="12">
        <f>114.26/88.4</f>
        <v>1.2925339366515838</v>
      </c>
      <c r="J227" s="12">
        <f t="shared" si="6"/>
        <v>20.680542986425341</v>
      </c>
      <c r="K227" s="10">
        <v>7.6</v>
      </c>
      <c r="L227" s="12">
        <f>((140-Questionnaire!B228)*Questionnaire!Y228)/(72*Results!I227)</f>
        <v>44.572223194663245</v>
      </c>
      <c r="M227" s="12">
        <f t="shared" si="7"/>
        <v>5.0772361281288285</v>
      </c>
      <c r="N227">
        <v>143</v>
      </c>
      <c r="O227">
        <v>3.6</v>
      </c>
      <c r="P227">
        <v>105</v>
      </c>
    </row>
    <row r="228" spans="1:16" x14ac:dyDescent="0.25">
      <c r="A228">
        <f>Questionnaire!A229</f>
        <v>227</v>
      </c>
      <c r="B228" s="30" t="s">
        <v>32</v>
      </c>
      <c r="C228" s="24">
        <v>5.6000000000000001E-2</v>
      </c>
      <c r="D228" s="6">
        <v>22</v>
      </c>
      <c r="E228" s="10">
        <v>6</v>
      </c>
      <c r="F228" s="10">
        <v>1.6</v>
      </c>
      <c r="G228" s="10">
        <v>1</v>
      </c>
      <c r="H228" s="10">
        <v>4</v>
      </c>
      <c r="I228" s="12">
        <f>68.03/88.4</f>
        <v>0.76957013574660627</v>
      </c>
      <c r="J228" s="12">
        <f t="shared" si="6"/>
        <v>12.3131221719457</v>
      </c>
      <c r="K228" s="10">
        <v>4.3</v>
      </c>
      <c r="L228" s="12">
        <f>(((140-Questionnaire!B229)*Questionnaire!Y229)/(72*Results!I228))*0.85</f>
        <v>60.073219331340745</v>
      </c>
      <c r="M228" s="12">
        <f t="shared" si="7"/>
        <v>1.7867117448184626</v>
      </c>
      <c r="N228">
        <v>138</v>
      </c>
      <c r="O228">
        <v>4</v>
      </c>
      <c r="P228">
        <v>101</v>
      </c>
    </row>
    <row r="229" spans="1:16" x14ac:dyDescent="0.25">
      <c r="A229">
        <f>Questionnaire!A230</f>
        <v>228</v>
      </c>
      <c r="B229" s="30" t="s">
        <v>32</v>
      </c>
      <c r="C229" s="24">
        <v>0.13500000000000001</v>
      </c>
      <c r="D229" s="6">
        <v>26</v>
      </c>
      <c r="E229" s="10">
        <v>4</v>
      </c>
      <c r="F229" s="10">
        <v>1.5</v>
      </c>
      <c r="G229" s="10">
        <v>1</v>
      </c>
      <c r="H229" s="10">
        <v>2.2000000000000002</v>
      </c>
      <c r="I229" s="12">
        <f>72.39/88.4</f>
        <v>0.8188914027149321</v>
      </c>
      <c r="J229" s="12">
        <f t="shared" si="6"/>
        <v>13.102262443438914</v>
      </c>
      <c r="K229" s="10">
        <v>3.3</v>
      </c>
      <c r="L229" s="12">
        <f>(((140-Questionnaire!B230)*Questionnaire!Y230)/(72*Results!I229))*0.85</f>
        <v>80.732452303111231</v>
      </c>
      <c r="M229" s="12">
        <f t="shared" si="7"/>
        <v>1.9843901091310956</v>
      </c>
      <c r="N229">
        <v>139</v>
      </c>
      <c r="O229">
        <v>3.7</v>
      </c>
      <c r="P229">
        <v>106</v>
      </c>
    </row>
    <row r="230" spans="1:16" x14ac:dyDescent="0.25">
      <c r="A230">
        <f>Questionnaire!A231</f>
        <v>229</v>
      </c>
      <c r="B230" s="30" t="s">
        <v>32</v>
      </c>
      <c r="C230" s="24">
        <v>0.14399999999999999</v>
      </c>
      <c r="D230" s="6">
        <v>70</v>
      </c>
      <c r="E230" s="10">
        <v>5</v>
      </c>
      <c r="F230" s="10">
        <v>1.8</v>
      </c>
      <c r="G230" s="10">
        <v>1.2</v>
      </c>
      <c r="H230" s="10">
        <v>2.5</v>
      </c>
      <c r="I230" s="12">
        <f>110/88.4</f>
        <v>1.244343891402715</v>
      </c>
      <c r="J230" s="12">
        <f t="shared" si="6"/>
        <v>19.909502262443439</v>
      </c>
      <c r="K230" s="10">
        <v>5</v>
      </c>
      <c r="L230" s="12">
        <f>(((140-Questionnaire!B231)*Questionnaire!Y231)/(72*Results!I230))*0.85</f>
        <v>26.754393939393939</v>
      </c>
      <c r="M230" s="12">
        <f t="shared" si="7"/>
        <v>3.5159090909090907</v>
      </c>
      <c r="N230">
        <v>140</v>
      </c>
      <c r="O230">
        <v>4</v>
      </c>
      <c r="P230">
        <v>99</v>
      </c>
    </row>
    <row r="231" spans="1:16" x14ac:dyDescent="0.25">
      <c r="A231">
        <f>Questionnaire!A232</f>
        <v>230</v>
      </c>
      <c r="B231" s="30" t="s">
        <v>11</v>
      </c>
      <c r="C231" s="24">
        <v>7.1999999999999995E-2</v>
      </c>
      <c r="D231" s="6">
        <v>104</v>
      </c>
      <c r="E231" s="33">
        <v>3</v>
      </c>
      <c r="F231" s="33">
        <v>0.9</v>
      </c>
      <c r="G231" s="33">
        <v>1</v>
      </c>
      <c r="H231" s="33">
        <v>1.3</v>
      </c>
      <c r="I231" s="12">
        <f>123.85/88.4</f>
        <v>1.4010180995475112</v>
      </c>
      <c r="J231" s="12">
        <f t="shared" si="6"/>
        <v>22.41628959276018</v>
      </c>
      <c r="K231" s="33">
        <v>4.3</v>
      </c>
      <c r="L231" s="12">
        <f>((140-Questionnaire!B232)*Questionnaire!Y232)/(72*Results!I231)</f>
        <v>49.785224061364559</v>
      </c>
      <c r="M231" s="12">
        <f t="shared" si="7"/>
        <v>4.6394832458619302</v>
      </c>
      <c r="N231">
        <v>139</v>
      </c>
      <c r="O231">
        <v>4.5</v>
      </c>
      <c r="P231">
        <v>103</v>
      </c>
    </row>
    <row r="232" spans="1:16" x14ac:dyDescent="0.25">
      <c r="A232">
        <f>Questionnaire!A233</f>
        <v>231</v>
      </c>
      <c r="B232" s="27" t="s">
        <v>32</v>
      </c>
      <c r="C232" s="24">
        <v>7.1999999999999995E-2</v>
      </c>
      <c r="D232" s="6">
        <v>22</v>
      </c>
      <c r="E232" s="10">
        <v>4</v>
      </c>
      <c r="F232" s="10">
        <v>1.2</v>
      </c>
      <c r="G232" s="10">
        <v>1.4</v>
      </c>
      <c r="H232" s="10">
        <v>2.2000000000000002</v>
      </c>
      <c r="I232" s="12">
        <f>116/88.4</f>
        <v>1.3122171945701357</v>
      </c>
      <c r="J232" s="12">
        <f t="shared" si="6"/>
        <v>20.995475113122172</v>
      </c>
      <c r="K232" s="10">
        <v>5.6</v>
      </c>
      <c r="L232" s="12">
        <f>(((140-Questionnaire!B233)*Questionnaire!Y233)/(72*Results!I232))*0.85</f>
        <v>45.93688218390804</v>
      </c>
      <c r="M232" s="12">
        <f t="shared" si="7"/>
        <v>1.0478448275862069</v>
      </c>
      <c r="N232">
        <v>142</v>
      </c>
      <c r="O232">
        <v>4.5999999999999996</v>
      </c>
      <c r="P232">
        <v>110</v>
      </c>
    </row>
    <row r="233" spans="1:16" x14ac:dyDescent="0.25">
      <c r="A233">
        <f>Questionnaire!A234</f>
        <v>232</v>
      </c>
      <c r="B233" s="30" t="s">
        <v>11</v>
      </c>
      <c r="C233" s="25">
        <v>0.08</v>
      </c>
      <c r="D233" s="6">
        <v>6</v>
      </c>
      <c r="E233" s="10">
        <v>5</v>
      </c>
      <c r="F233" s="10">
        <v>1.3</v>
      </c>
      <c r="G233" s="10">
        <v>3</v>
      </c>
      <c r="H233" s="10">
        <v>2.8</v>
      </c>
      <c r="I233" s="12">
        <f>94.2/88.4</f>
        <v>1.0656108597285068</v>
      </c>
      <c r="J233" s="12">
        <f t="shared" si="6"/>
        <v>17.049773755656108</v>
      </c>
      <c r="K233" s="10">
        <v>3.5</v>
      </c>
      <c r="L233" s="12">
        <f>((140-Questionnaire!B234)*Questionnaire!Y234)/(72*Results!I233)</f>
        <v>62.926869544703941</v>
      </c>
      <c r="M233" s="12">
        <f t="shared" si="7"/>
        <v>0.35191082802547768</v>
      </c>
      <c r="N233">
        <v>141</v>
      </c>
      <c r="O233">
        <v>3.7</v>
      </c>
      <c r="P233">
        <v>106</v>
      </c>
    </row>
    <row r="234" spans="1:16" x14ac:dyDescent="0.25">
      <c r="A234">
        <f>Questionnaire!A235</f>
        <v>233</v>
      </c>
      <c r="B234" s="30" t="s">
        <v>11</v>
      </c>
      <c r="C234" s="24">
        <v>5.2999999999999999E-2</v>
      </c>
      <c r="D234" s="54">
        <v>4</v>
      </c>
      <c r="E234" s="10">
        <v>3</v>
      </c>
      <c r="F234" s="10">
        <v>1.5</v>
      </c>
      <c r="G234" s="10">
        <v>1</v>
      </c>
      <c r="H234" s="10">
        <v>1.9</v>
      </c>
      <c r="I234" s="12">
        <f>88.09/88.4</f>
        <v>0.99649321266968327</v>
      </c>
      <c r="J234" s="12">
        <f t="shared" si="6"/>
        <v>15.943891402714932</v>
      </c>
      <c r="K234" s="10">
        <v>4.3</v>
      </c>
      <c r="L234" s="12">
        <f>((140-Questionnaire!B235)*Questionnaire!Y235)/(72*Results!I234)</f>
        <v>64.141597608506444</v>
      </c>
      <c r="M234" s="12">
        <f t="shared" si="7"/>
        <v>0.25087978204109435</v>
      </c>
      <c r="N234">
        <v>144</v>
      </c>
      <c r="O234">
        <v>4.5</v>
      </c>
      <c r="P234">
        <v>108</v>
      </c>
    </row>
    <row r="235" spans="1:16" x14ac:dyDescent="0.25">
      <c r="A235">
        <f>Questionnaire!A236</f>
        <v>234</v>
      </c>
      <c r="B235" s="30" t="s">
        <v>32</v>
      </c>
      <c r="C235" s="24">
        <v>8.2000000000000003E-2</v>
      </c>
      <c r="D235" s="6">
        <v>10</v>
      </c>
      <c r="E235" s="10">
        <v>3</v>
      </c>
      <c r="F235" s="10">
        <v>1.1000000000000001</v>
      </c>
      <c r="G235" s="10">
        <v>1</v>
      </c>
      <c r="H235" s="10">
        <v>1.2</v>
      </c>
      <c r="I235" s="12">
        <f>95.07/88.4</f>
        <v>1.0754524886877828</v>
      </c>
      <c r="J235" s="12">
        <f t="shared" si="6"/>
        <v>17.207239819004524</v>
      </c>
      <c r="K235" s="10">
        <v>3.8</v>
      </c>
      <c r="L235" s="12">
        <f>(((140-Questionnaire!B236)*Questionnaire!Y236)/(72*Results!I235))*0.85</f>
        <v>66.390659514042298</v>
      </c>
      <c r="M235" s="12">
        <f t="shared" si="7"/>
        <v>0.58115073104028614</v>
      </c>
      <c r="N235">
        <v>143</v>
      </c>
      <c r="O235">
        <v>3.3</v>
      </c>
      <c r="P235">
        <v>110</v>
      </c>
    </row>
    <row r="236" spans="1:16" x14ac:dyDescent="0.25">
      <c r="A236">
        <f>Questionnaire!A237</f>
        <v>235</v>
      </c>
      <c r="B236" s="30" t="s">
        <v>11</v>
      </c>
      <c r="C236" s="24">
        <v>5.8000000000000003E-2</v>
      </c>
      <c r="D236" s="54">
        <v>160</v>
      </c>
      <c r="E236" s="10">
        <v>7</v>
      </c>
      <c r="F236" s="10">
        <v>1.5</v>
      </c>
      <c r="G236" s="10">
        <v>5</v>
      </c>
      <c r="H236" s="10">
        <v>2.2999999999999998</v>
      </c>
      <c r="I236" s="12">
        <f>92.45/88.4</f>
        <v>1.0458144796380091</v>
      </c>
      <c r="J236" s="12">
        <f t="shared" si="6"/>
        <v>16.733031674208146</v>
      </c>
      <c r="K236" s="10">
        <v>4.5</v>
      </c>
      <c r="L236" s="12">
        <f>((140-Questionnaire!B237)*Questionnaire!Y237)/(72*Results!I236)</f>
        <v>52.232017306652239</v>
      </c>
      <c r="M236" s="12">
        <f t="shared" si="7"/>
        <v>9.561925365062196</v>
      </c>
      <c r="N236">
        <v>143</v>
      </c>
      <c r="O236">
        <v>5</v>
      </c>
      <c r="P236">
        <v>106</v>
      </c>
    </row>
    <row r="237" spans="1:16" x14ac:dyDescent="0.25">
      <c r="A237">
        <f>Questionnaire!A238</f>
        <v>236</v>
      </c>
      <c r="B237" s="30" t="s">
        <v>32</v>
      </c>
      <c r="C237" s="24">
        <v>0.14799999999999999</v>
      </c>
      <c r="D237" s="54">
        <v>4</v>
      </c>
      <c r="E237" s="10">
        <v>4</v>
      </c>
      <c r="F237" s="10">
        <v>1.3</v>
      </c>
      <c r="G237" s="10">
        <v>1</v>
      </c>
      <c r="H237" s="10">
        <v>2</v>
      </c>
      <c r="I237" s="12">
        <f>95.07/88.4</f>
        <v>1.0754524886877828</v>
      </c>
      <c r="J237" s="12">
        <f t="shared" si="6"/>
        <v>17.207239819004524</v>
      </c>
      <c r="K237" s="10">
        <v>3.1</v>
      </c>
      <c r="L237" s="12">
        <f>(((140-Questionnaire!B238)*Questionnaire!Y238)/(72*Results!I237))*0.85</f>
        <v>62.866948914834687</v>
      </c>
      <c r="M237" s="12">
        <f t="shared" si="7"/>
        <v>0.23246029241611446</v>
      </c>
      <c r="N237">
        <v>144</v>
      </c>
      <c r="O237">
        <v>4.9000000000000004</v>
      </c>
      <c r="P237">
        <v>110</v>
      </c>
    </row>
    <row r="238" spans="1:16" x14ac:dyDescent="0.25">
      <c r="A238">
        <f>Questionnaire!A239</f>
        <v>237</v>
      </c>
      <c r="B238" s="30" t="s">
        <v>11</v>
      </c>
      <c r="C238" s="24">
        <v>3.1E-2</v>
      </c>
      <c r="D238" s="6">
        <v>80</v>
      </c>
      <c r="E238" s="10">
        <v>4</v>
      </c>
      <c r="F238" s="10">
        <v>1.3</v>
      </c>
      <c r="G238" s="10">
        <v>1</v>
      </c>
      <c r="H238" s="10">
        <v>2.1</v>
      </c>
      <c r="I238" s="12">
        <f>116.88/88.4</f>
        <v>1.3221719457013574</v>
      </c>
      <c r="J238" s="12">
        <f t="shared" si="6"/>
        <v>21.154751131221719</v>
      </c>
      <c r="K238" s="10">
        <v>5.0999999999999996</v>
      </c>
      <c r="L238" s="12">
        <f>((140-Questionnaire!B239)*Questionnaire!Y239)/(72*Results!I238)</f>
        <v>42.175973458057648</v>
      </c>
      <c r="M238" s="12">
        <f t="shared" si="7"/>
        <v>3.7816563997262151</v>
      </c>
      <c r="N238">
        <v>140</v>
      </c>
      <c r="O238">
        <v>3.5</v>
      </c>
      <c r="P238">
        <v>105</v>
      </c>
    </row>
    <row r="239" spans="1:16" x14ac:dyDescent="0.25">
      <c r="A239">
        <f>Questionnaire!A240</f>
        <v>238</v>
      </c>
      <c r="B239" s="30" t="s">
        <v>32</v>
      </c>
      <c r="C239" s="24">
        <v>6.2E-2</v>
      </c>
      <c r="D239" s="6">
        <v>21</v>
      </c>
      <c r="E239" s="10">
        <v>6</v>
      </c>
      <c r="F239" s="10">
        <v>1.5</v>
      </c>
      <c r="G239" s="10">
        <v>2</v>
      </c>
      <c r="H239" s="10">
        <v>3.2</v>
      </c>
      <c r="I239" s="12">
        <f>81.12/88.4</f>
        <v>0.91764705882352937</v>
      </c>
      <c r="J239" s="12">
        <f t="shared" si="6"/>
        <v>14.68235294117647</v>
      </c>
      <c r="K239" s="10">
        <v>4.0999999999999996</v>
      </c>
      <c r="L239" s="12">
        <f>(((140-Questionnaire!B240)*Questionnaire!Y240)/(72*Results!I239))*0.85</f>
        <v>74.192619301994313</v>
      </c>
      <c r="M239" s="12">
        <f t="shared" si="7"/>
        <v>1.4302884615384617</v>
      </c>
      <c r="N239">
        <v>142</v>
      </c>
      <c r="O239">
        <v>4.0999999999999996</v>
      </c>
      <c r="P239">
        <v>107</v>
      </c>
    </row>
    <row r="240" spans="1:16" x14ac:dyDescent="0.25">
      <c r="A240">
        <f>Questionnaire!A241</f>
        <v>239</v>
      </c>
      <c r="B240" s="30" t="s">
        <v>32</v>
      </c>
      <c r="C240" s="24">
        <v>9.1999999999999998E-2</v>
      </c>
      <c r="D240" s="6">
        <v>5</v>
      </c>
      <c r="E240" s="10">
        <v>5</v>
      </c>
      <c r="F240" s="10">
        <v>1.2</v>
      </c>
      <c r="G240" s="10">
        <v>1</v>
      </c>
      <c r="H240" s="10">
        <v>2.7</v>
      </c>
      <c r="I240" s="12">
        <f>70.65/88.4</f>
        <v>0.79920814479638014</v>
      </c>
      <c r="J240" s="12">
        <f t="shared" si="6"/>
        <v>12.787330316742082</v>
      </c>
      <c r="K240" s="10">
        <v>6.7</v>
      </c>
      <c r="L240" s="12">
        <f>(((140-Questionnaire!B241)*Questionnaire!Y241)/(72*Results!I240))*0.85</f>
        <v>85.261476763387577</v>
      </c>
      <c r="M240" s="12">
        <f t="shared" si="7"/>
        <v>0.39101203113941962</v>
      </c>
      <c r="N240">
        <v>142</v>
      </c>
      <c r="O240">
        <v>4.2</v>
      </c>
      <c r="P240">
        <v>110</v>
      </c>
    </row>
    <row r="241" spans="1:16" x14ac:dyDescent="0.25">
      <c r="A241">
        <f>Questionnaire!A242</f>
        <v>240</v>
      </c>
      <c r="B241" s="30" t="s">
        <v>11</v>
      </c>
      <c r="C241" s="24">
        <v>8.5999999999999993E-2</v>
      </c>
      <c r="D241" s="6">
        <v>66</v>
      </c>
      <c r="E241" s="10">
        <v>4</v>
      </c>
      <c r="F241" s="10">
        <v>1.5</v>
      </c>
      <c r="G241" s="10">
        <v>1</v>
      </c>
      <c r="H241" s="10">
        <v>2.5</v>
      </c>
      <c r="I241" s="12">
        <f>103.79/88.4</f>
        <v>1.1740950226244344</v>
      </c>
      <c r="J241" s="12">
        <f t="shared" si="6"/>
        <v>18.785520361990951</v>
      </c>
      <c r="K241" s="10">
        <v>4.9000000000000004</v>
      </c>
      <c r="L241" s="12">
        <f>((140-Questionnaire!B242)*Questionnaire!Y242)/(72*Results!I241)</f>
        <v>56.130701951590275</v>
      </c>
      <c r="M241" s="12">
        <f t="shared" si="7"/>
        <v>3.5133442528181904</v>
      </c>
      <c r="N241">
        <v>146</v>
      </c>
      <c r="O241">
        <v>3.6</v>
      </c>
      <c r="P241">
        <v>109</v>
      </c>
    </row>
    <row r="242" spans="1:16" x14ac:dyDescent="0.25">
      <c r="A242">
        <f>Questionnaire!A243</f>
        <v>241</v>
      </c>
      <c r="B242" s="30" t="s">
        <v>32</v>
      </c>
      <c r="C242" s="24">
        <v>8.6999999999999994E-2</v>
      </c>
      <c r="D242" s="6">
        <v>44</v>
      </c>
      <c r="E242" s="10">
        <v>4</v>
      </c>
      <c r="F242" s="10">
        <v>1.5</v>
      </c>
      <c r="G242" s="10">
        <v>2</v>
      </c>
      <c r="H242" s="10">
        <v>1.8</v>
      </c>
      <c r="I242" s="12">
        <f>80.24/88.4</f>
        <v>0.90769230769230758</v>
      </c>
      <c r="J242" s="12">
        <f t="shared" si="6"/>
        <v>14.523076923076921</v>
      </c>
      <c r="K242" s="10">
        <v>5.3</v>
      </c>
      <c r="L242" s="12">
        <f>(((140-Questionnaire!B243)*Questionnaire!Y243)/(72*Results!I242))*0.85</f>
        <v>82.914018361581924</v>
      </c>
      <c r="M242" s="12">
        <f t="shared" si="7"/>
        <v>3.0296610169491531</v>
      </c>
      <c r="N242">
        <v>145</v>
      </c>
      <c r="O242">
        <v>5.3</v>
      </c>
      <c r="P242">
        <v>111</v>
      </c>
    </row>
    <row r="243" spans="1:16" x14ac:dyDescent="0.25">
      <c r="A243">
        <f>Questionnaire!A244</f>
        <v>242</v>
      </c>
      <c r="B243" s="30" t="s">
        <v>11</v>
      </c>
      <c r="C243" s="24">
        <v>3.7999999999999999E-2</v>
      </c>
      <c r="D243" s="6">
        <v>6</v>
      </c>
      <c r="E243" s="10">
        <v>4</v>
      </c>
      <c r="F243" s="10">
        <v>1.7</v>
      </c>
      <c r="G243" s="10">
        <v>1</v>
      </c>
      <c r="H243" s="10">
        <v>2</v>
      </c>
      <c r="I243" s="12">
        <f>75.01/88.4</f>
        <v>0.84852941176470587</v>
      </c>
      <c r="J243" s="12">
        <f t="shared" si="6"/>
        <v>13.576470588235294</v>
      </c>
      <c r="K243" s="10">
        <v>6.2</v>
      </c>
      <c r="L243" s="12">
        <f>((140-Questionnaire!B244)*Questionnaire!Y244)/(72*Results!I243)</f>
        <v>84.017908723281337</v>
      </c>
      <c r="M243" s="12">
        <f t="shared" si="7"/>
        <v>0.44194107452339687</v>
      </c>
      <c r="N243">
        <v>146</v>
      </c>
      <c r="O243">
        <v>4.4000000000000004</v>
      </c>
      <c r="P243">
        <v>110</v>
      </c>
    </row>
    <row r="244" spans="1:16" x14ac:dyDescent="0.25">
      <c r="A244">
        <f>Questionnaire!A245</f>
        <v>243</v>
      </c>
      <c r="B244" s="30" t="s">
        <v>11</v>
      </c>
      <c r="C244" s="24">
        <v>4.7E-2</v>
      </c>
      <c r="D244" s="54">
        <v>160</v>
      </c>
      <c r="E244" s="10">
        <v>4</v>
      </c>
      <c r="F244" s="10">
        <v>0.9</v>
      </c>
      <c r="G244" s="10">
        <v>2</v>
      </c>
      <c r="H244" s="10">
        <v>1.8</v>
      </c>
      <c r="I244" s="12">
        <f>248.58/88.4</f>
        <v>2.8119909502262441</v>
      </c>
      <c r="J244" s="12">
        <f t="shared" si="6"/>
        <v>44.991855203619906</v>
      </c>
      <c r="K244" s="10">
        <v>13.9</v>
      </c>
      <c r="L244" s="12">
        <f>((140-Questionnaire!B245)*Questionnaire!Y245)/(72*Results!I244)</f>
        <v>27.777867174439706</v>
      </c>
      <c r="M244" s="12">
        <f t="shared" si="7"/>
        <v>3.556199211521442</v>
      </c>
      <c r="N244">
        <v>140</v>
      </c>
      <c r="O244">
        <v>3.7</v>
      </c>
      <c r="P244">
        <v>106</v>
      </c>
    </row>
    <row r="245" spans="1:16" x14ac:dyDescent="0.25">
      <c r="A245">
        <f>Questionnaire!A246</f>
        <v>244</v>
      </c>
      <c r="B245" s="30" t="s">
        <v>32</v>
      </c>
      <c r="C245" s="24">
        <v>5.8999999999999997E-2</v>
      </c>
      <c r="D245" s="54">
        <v>160</v>
      </c>
      <c r="E245" s="10">
        <v>6</v>
      </c>
      <c r="F245" s="10">
        <v>2</v>
      </c>
      <c r="G245" s="10">
        <v>1</v>
      </c>
      <c r="H245" s="12">
        <f>142.17/88.4</f>
        <v>1.608257918552036</v>
      </c>
      <c r="I245" s="12">
        <v>8.8000000000000007</v>
      </c>
      <c r="J245" s="12">
        <f t="shared" si="6"/>
        <v>140.80000000000001</v>
      </c>
      <c r="K245" s="10">
        <v>7</v>
      </c>
      <c r="L245" s="12">
        <f>(((140-Questionnaire!B246)*Questionnaire!Y246)/(72*Results!I245))*0.85</f>
        <v>6.8056344696969688</v>
      </c>
      <c r="M245" s="12">
        <f t="shared" si="7"/>
        <v>1.1363636363636362</v>
      </c>
      <c r="N245">
        <v>140</v>
      </c>
      <c r="O245">
        <v>5.7</v>
      </c>
      <c r="P245">
        <v>110</v>
      </c>
    </row>
    <row r="246" spans="1:16" x14ac:dyDescent="0.25">
      <c r="A246">
        <f>Questionnaire!A247</f>
        <v>245</v>
      </c>
      <c r="B246" s="30" t="s">
        <v>32</v>
      </c>
      <c r="C246" s="24">
        <v>6.3E-2</v>
      </c>
      <c r="D246" s="54">
        <v>4</v>
      </c>
      <c r="E246" s="10">
        <v>7</v>
      </c>
      <c r="F246" s="10">
        <v>1.6</v>
      </c>
      <c r="G246" s="10">
        <v>1</v>
      </c>
      <c r="H246" s="10">
        <v>4.7</v>
      </c>
      <c r="I246" s="12">
        <f>81.99/88.4</f>
        <v>0.92748868778280535</v>
      </c>
      <c r="J246" s="12">
        <f t="shared" si="6"/>
        <v>14.839819004524886</v>
      </c>
      <c r="K246" s="10">
        <v>4.8</v>
      </c>
      <c r="L246" s="12">
        <f>(((140-Questionnaire!B247)*Questionnaire!Y247)/(72*Results!I246))*0.85</f>
        <v>80.25329986041659</v>
      </c>
      <c r="M246" s="12">
        <f t="shared" si="7"/>
        <v>0.26954506647152093</v>
      </c>
      <c r="N246">
        <v>139</v>
      </c>
      <c r="O246">
        <v>4.9000000000000004</v>
      </c>
      <c r="P246">
        <v>104</v>
      </c>
    </row>
    <row r="247" spans="1:16" x14ac:dyDescent="0.25">
      <c r="A247">
        <f>Questionnaire!A248</f>
        <v>246</v>
      </c>
      <c r="B247" s="30" t="s">
        <v>11</v>
      </c>
      <c r="C247" s="24">
        <v>3.5999999999999997E-2</v>
      </c>
      <c r="D247" s="6">
        <v>34</v>
      </c>
      <c r="E247" s="10">
        <v>4</v>
      </c>
      <c r="F247" s="10">
        <v>1.1000000000000001</v>
      </c>
      <c r="G247" s="10">
        <v>1</v>
      </c>
      <c r="H247" s="10">
        <v>2.5</v>
      </c>
      <c r="I247" s="12">
        <f>87.22/88.4</f>
        <v>0.98665158371040718</v>
      </c>
      <c r="J247" s="12">
        <f t="shared" si="6"/>
        <v>15.786425339366515</v>
      </c>
      <c r="K247" s="10">
        <v>4.8</v>
      </c>
      <c r="L247" s="12">
        <f>((140-Questionnaire!B248)*Questionnaire!Y248)/(72*Results!I247)</f>
        <v>66.723992967973714</v>
      </c>
      <c r="M247" s="12">
        <f t="shared" si="7"/>
        <v>2.1537491401054805</v>
      </c>
      <c r="N247">
        <v>140</v>
      </c>
      <c r="O247">
        <v>4.5999999999999996</v>
      </c>
      <c r="P247">
        <v>103</v>
      </c>
    </row>
    <row r="248" spans="1:16" x14ac:dyDescent="0.25">
      <c r="A248">
        <f>Questionnaire!A249</f>
        <v>247</v>
      </c>
      <c r="B248" s="30" t="s">
        <v>32</v>
      </c>
      <c r="C248" s="24">
        <v>0.113</v>
      </c>
      <c r="D248" s="54">
        <v>160</v>
      </c>
      <c r="E248" s="10">
        <v>7</v>
      </c>
      <c r="F248" s="10">
        <v>1.5</v>
      </c>
      <c r="G248" s="10">
        <v>2</v>
      </c>
      <c r="H248" s="10">
        <v>3.8</v>
      </c>
      <c r="I248" s="12">
        <f>85.48/88.4</f>
        <v>0.96696832579185521</v>
      </c>
      <c r="J248" s="12">
        <f t="shared" si="6"/>
        <v>15.471493212669683</v>
      </c>
      <c r="K248" s="10">
        <v>5.6</v>
      </c>
      <c r="L248" s="12">
        <f>(((140-Questionnaire!B249)*Questionnaire!Y249)/(72*Results!I248))*0.85</f>
        <v>75.890110747153344</v>
      </c>
      <c r="M248" s="12">
        <f t="shared" si="7"/>
        <v>10.341600374356574</v>
      </c>
      <c r="N248">
        <v>140</v>
      </c>
      <c r="O248">
        <v>3.8</v>
      </c>
      <c r="P248">
        <v>104</v>
      </c>
    </row>
    <row r="249" spans="1:16" x14ac:dyDescent="0.25">
      <c r="A249">
        <f>Questionnaire!A250</f>
        <v>248</v>
      </c>
      <c r="B249" s="30" t="s">
        <v>32</v>
      </c>
      <c r="C249" s="24">
        <v>4.2999999999999997E-2</v>
      </c>
      <c r="D249" s="54">
        <v>4</v>
      </c>
      <c r="E249" s="10">
        <v>4</v>
      </c>
      <c r="F249" s="10">
        <v>1.2</v>
      </c>
      <c r="G249" s="10">
        <v>1</v>
      </c>
      <c r="H249" s="10">
        <v>2.6</v>
      </c>
      <c r="I249" s="12">
        <f>71.52/88.4</f>
        <v>0.80904977375565601</v>
      </c>
      <c r="J249" s="12">
        <f t="shared" si="6"/>
        <v>12.944796380090496</v>
      </c>
      <c r="K249" s="10">
        <v>1.8</v>
      </c>
      <c r="L249" s="12">
        <f>(((140-Questionnaire!B250)*Questionnaire!Y250)/(72*Results!I249))*0.85</f>
        <v>92.279036167039521</v>
      </c>
      <c r="M249" s="12">
        <f t="shared" si="7"/>
        <v>0.30900447427293071</v>
      </c>
      <c r="N249">
        <v>143</v>
      </c>
      <c r="O249">
        <v>4.2</v>
      </c>
      <c r="P249">
        <v>108</v>
      </c>
    </row>
    <row r="250" spans="1:16" x14ac:dyDescent="0.25">
      <c r="A250">
        <f>Questionnaire!A251</f>
        <v>249</v>
      </c>
      <c r="B250" s="30" t="s">
        <v>32</v>
      </c>
      <c r="C250" s="24">
        <v>7.2999999999999995E-2</v>
      </c>
      <c r="D250" s="6">
        <v>4</v>
      </c>
      <c r="E250" s="10">
        <v>4</v>
      </c>
      <c r="F250" s="10">
        <v>1.1000000000000001</v>
      </c>
      <c r="G250" s="10">
        <v>2</v>
      </c>
      <c r="H250" s="10">
        <v>2.1</v>
      </c>
      <c r="I250" s="12">
        <f>86.35/88.4</f>
        <v>0.97680995475113108</v>
      </c>
      <c r="J250" s="12">
        <f t="shared" si="6"/>
        <v>15.628959276018097</v>
      </c>
      <c r="K250" s="10">
        <v>4.5999999999999996</v>
      </c>
      <c r="L250" s="12">
        <f>(((140-Questionnaire!B251)*Questionnaire!Y251)/(72*Results!I250))*0.85</f>
        <v>79.222592163674989</v>
      </c>
      <c r="M250" s="12">
        <f t="shared" si="7"/>
        <v>0.25593514765489289</v>
      </c>
      <c r="N250">
        <v>140</v>
      </c>
      <c r="O250">
        <v>4</v>
      </c>
      <c r="P250">
        <v>104</v>
      </c>
    </row>
    <row r="251" spans="1:16" x14ac:dyDescent="0.25">
      <c r="A251">
        <f>Questionnaire!A252</f>
        <v>250</v>
      </c>
      <c r="B251" s="30" t="s">
        <v>32</v>
      </c>
      <c r="C251" s="24">
        <v>5.8999999999999997E-2</v>
      </c>
      <c r="D251" s="54">
        <v>160</v>
      </c>
      <c r="E251" s="10">
        <v>5</v>
      </c>
      <c r="F251" s="10">
        <v>2.2999999999999998</v>
      </c>
      <c r="G251" s="10">
        <v>1</v>
      </c>
      <c r="H251" s="10">
        <v>2.2000000000000002</v>
      </c>
      <c r="I251" s="12">
        <f>121.24/88.4</f>
        <v>1.371493212669683</v>
      </c>
      <c r="J251" s="12">
        <f t="shared" si="6"/>
        <v>21.943891402714929</v>
      </c>
      <c r="K251" s="10">
        <v>7.1</v>
      </c>
      <c r="L251" s="12">
        <f>(((140-Questionnaire!B252)*Questionnaire!Y252)/(72*Results!I251))*0.85</f>
        <v>27.975388577293888</v>
      </c>
      <c r="M251" s="12">
        <f t="shared" si="7"/>
        <v>7.2913229957109875</v>
      </c>
      <c r="N251">
        <v>127</v>
      </c>
      <c r="O251">
        <v>4.9000000000000004</v>
      </c>
      <c r="P251">
        <v>95</v>
      </c>
    </row>
    <row r="252" spans="1:16" x14ac:dyDescent="0.25">
      <c r="A252">
        <f>Questionnaire!A253</f>
        <v>251</v>
      </c>
      <c r="B252" s="30" t="s">
        <v>32</v>
      </c>
      <c r="C252" s="24">
        <v>0.107</v>
      </c>
      <c r="D252" s="6">
        <v>17</v>
      </c>
      <c r="E252" s="10">
        <v>3</v>
      </c>
      <c r="F252" s="10">
        <v>1.1000000000000001</v>
      </c>
      <c r="G252" s="10">
        <v>2</v>
      </c>
      <c r="H252" s="10">
        <v>1.3</v>
      </c>
      <c r="I252" s="12">
        <f>64.54/88.4</f>
        <v>0.73009049773755663</v>
      </c>
      <c r="J252" s="12">
        <f t="shared" si="6"/>
        <v>11.681447963800906</v>
      </c>
      <c r="K252" s="10">
        <v>5.9</v>
      </c>
      <c r="L252" s="12">
        <f>(((140-Questionnaire!B253)*Questionnaire!Y253)/(72*Results!I252))*0.85</f>
        <v>62.092759012498703</v>
      </c>
      <c r="M252" s="12">
        <f t="shared" si="7"/>
        <v>1.4552990393554384</v>
      </c>
      <c r="N252">
        <v>140</v>
      </c>
      <c r="O252">
        <v>4.8</v>
      </c>
      <c r="P252">
        <v>106</v>
      </c>
    </row>
    <row r="253" spans="1:16" x14ac:dyDescent="0.25">
      <c r="A253">
        <f>Questionnaire!A254</f>
        <v>252</v>
      </c>
      <c r="B253" s="30" t="s">
        <v>11</v>
      </c>
      <c r="C253" s="24">
        <v>7.8E-2</v>
      </c>
      <c r="D253" s="6">
        <v>11</v>
      </c>
      <c r="E253" s="10">
        <v>3</v>
      </c>
      <c r="F253" s="10">
        <v>1.1000000000000001</v>
      </c>
      <c r="G253" s="10">
        <v>1</v>
      </c>
      <c r="H253" s="10">
        <v>0.8</v>
      </c>
      <c r="I253" s="12">
        <f>88.97/88.4</f>
        <v>1.006447963800905</v>
      </c>
      <c r="J253" s="12">
        <f t="shared" si="6"/>
        <v>16.103167420814479</v>
      </c>
      <c r="K253" s="10">
        <v>6</v>
      </c>
      <c r="L253" s="12">
        <f>((140-Questionnaire!B254)*Questionnaire!Y254)/(72*Results!I253)</f>
        <v>67.495347994954599</v>
      </c>
      <c r="M253" s="12">
        <f t="shared" si="7"/>
        <v>0.68309542542430035</v>
      </c>
      <c r="N253">
        <v>141</v>
      </c>
      <c r="O253">
        <v>4.5</v>
      </c>
      <c r="P253">
        <v>108</v>
      </c>
    </row>
    <row r="254" spans="1:16" x14ac:dyDescent="0.25">
      <c r="A254">
        <f>Questionnaire!A255</f>
        <v>253</v>
      </c>
      <c r="B254" s="30" t="s">
        <v>11</v>
      </c>
      <c r="C254" s="24">
        <v>8.1000000000000003E-2</v>
      </c>
      <c r="D254" s="6">
        <v>5</v>
      </c>
      <c r="E254" s="10">
        <v>3</v>
      </c>
      <c r="F254" s="10">
        <v>1.2</v>
      </c>
      <c r="G254" s="10">
        <v>1</v>
      </c>
      <c r="H254" s="10">
        <v>1.6</v>
      </c>
      <c r="I254" s="12">
        <v>0.8</v>
      </c>
      <c r="J254" s="12">
        <f t="shared" si="6"/>
        <v>12.8</v>
      </c>
      <c r="K254" s="10">
        <v>2.8</v>
      </c>
      <c r="L254" s="12">
        <f>((140-Questionnaire!B255)*Questionnaire!Y255)/(72*Results!I254)</f>
        <v>91.666666666666671</v>
      </c>
      <c r="M254" s="12">
        <f t="shared" si="7"/>
        <v>0.390625</v>
      </c>
      <c r="N254">
        <v>137</v>
      </c>
      <c r="O254">
        <v>4.3</v>
      </c>
      <c r="P254">
        <v>102</v>
      </c>
    </row>
    <row r="255" spans="1:16" x14ac:dyDescent="0.25">
      <c r="A255">
        <f>Questionnaire!A256</f>
        <v>254</v>
      </c>
      <c r="B255" s="30" t="s">
        <v>32</v>
      </c>
      <c r="C255" s="24">
        <v>4.8000000000000001E-2</v>
      </c>
      <c r="D255" s="6">
        <v>21</v>
      </c>
      <c r="E255" s="10">
        <v>5</v>
      </c>
      <c r="F255" s="10">
        <v>1.5</v>
      </c>
      <c r="G255" s="10">
        <v>2</v>
      </c>
      <c r="H255" s="10">
        <v>2.6</v>
      </c>
      <c r="I255" s="12">
        <f>83.73/88.4</f>
        <v>0.94717194570135743</v>
      </c>
      <c r="J255" s="12">
        <f t="shared" si="6"/>
        <v>15.154751131221719</v>
      </c>
      <c r="K255" s="10">
        <v>3.1</v>
      </c>
      <c r="L255" s="12">
        <f>(((140-Questionnaire!B256)*Questionnaire!Y256)/(72*Results!I255))*0.85</f>
        <v>63.229895696484732</v>
      </c>
      <c r="M255" s="12">
        <f t="shared" si="7"/>
        <v>1.3857040487280545</v>
      </c>
      <c r="N255">
        <v>146</v>
      </c>
      <c r="O255">
        <v>5.3</v>
      </c>
      <c r="P255">
        <v>110</v>
      </c>
    </row>
    <row r="256" spans="1:16" x14ac:dyDescent="0.25">
      <c r="A256">
        <f>Questionnaire!A257</f>
        <v>255</v>
      </c>
      <c r="B256" s="30" t="s">
        <v>32</v>
      </c>
      <c r="C256" s="24">
        <v>7.3999999999999996E-2</v>
      </c>
      <c r="D256" s="54">
        <v>160</v>
      </c>
      <c r="E256" s="10">
        <v>6</v>
      </c>
      <c r="F256" s="10">
        <v>1.4</v>
      </c>
      <c r="G256" s="10">
        <v>3</v>
      </c>
      <c r="H256" s="10">
        <v>2.8</v>
      </c>
      <c r="I256" s="12">
        <f>71.52/88.4</f>
        <v>0.80904977375565601</v>
      </c>
      <c r="J256" s="12">
        <f t="shared" si="6"/>
        <v>12.944796380090496</v>
      </c>
      <c r="K256" s="10">
        <v>6.1</v>
      </c>
      <c r="L256" s="12">
        <f>(((140-Questionnaire!B257)*Questionnaire!Y257)/(72*Results!I256))*0.85</f>
        <v>80.547166293810605</v>
      </c>
      <c r="M256" s="12">
        <f t="shared" si="7"/>
        <v>12.360178970917227</v>
      </c>
      <c r="N256">
        <v>142</v>
      </c>
      <c r="O256">
        <v>3.2</v>
      </c>
      <c r="P256">
        <v>106</v>
      </c>
    </row>
    <row r="257" spans="1:16" x14ac:dyDescent="0.25">
      <c r="A257">
        <f>Questionnaire!A258</f>
        <v>256</v>
      </c>
      <c r="B257" s="30" t="s">
        <v>32</v>
      </c>
      <c r="C257" s="24">
        <v>6.9000000000000006E-2</v>
      </c>
      <c r="D257" s="6">
        <v>15</v>
      </c>
      <c r="E257" s="10">
        <v>6</v>
      </c>
      <c r="F257" s="10">
        <v>1.9</v>
      </c>
      <c r="G257" s="10">
        <v>1</v>
      </c>
      <c r="H257" s="10">
        <v>3.7</v>
      </c>
      <c r="I257" s="12">
        <f>87.22/88.4</f>
        <v>0.98665158371040718</v>
      </c>
      <c r="J257" s="12">
        <f t="shared" si="6"/>
        <v>15.786425339366515</v>
      </c>
      <c r="K257" s="10">
        <v>3.9</v>
      </c>
      <c r="L257" s="12">
        <f>(((140-Questionnaire!B258)*Questionnaire!Y258)/(72*Results!I257))*0.85</f>
        <v>46.066301052256108</v>
      </c>
      <c r="M257" s="12">
        <f t="shared" si="7"/>
        <v>0.95018344416418254</v>
      </c>
      <c r="N257">
        <v>138</v>
      </c>
      <c r="O257">
        <v>3.3</v>
      </c>
      <c r="P257">
        <v>102</v>
      </c>
    </row>
    <row r="258" spans="1:16" x14ac:dyDescent="0.25">
      <c r="A258">
        <f>Questionnaire!A259</f>
        <v>257</v>
      </c>
      <c r="B258" s="30" t="s">
        <v>32</v>
      </c>
      <c r="C258" s="24">
        <v>6.3E-2</v>
      </c>
      <c r="D258" s="6">
        <v>6</v>
      </c>
      <c r="E258" s="10">
        <v>5</v>
      </c>
      <c r="F258" s="10">
        <v>1.1000000000000001</v>
      </c>
      <c r="G258" s="10">
        <v>3</v>
      </c>
      <c r="H258" s="10">
        <v>2.9</v>
      </c>
      <c r="I258" s="12">
        <f>97.69/88.4</f>
        <v>1.1050904977375564</v>
      </c>
      <c r="J258" s="12">
        <f t="shared" si="6"/>
        <v>17.681447963800903</v>
      </c>
      <c r="K258" s="10">
        <v>5.9</v>
      </c>
      <c r="L258" s="12">
        <f>(((140-Questionnaire!B259)*Questionnaire!Y259)/(72*Results!I258))*0.85</f>
        <v>51.822678882178323</v>
      </c>
      <c r="M258" s="12">
        <f t="shared" si="7"/>
        <v>0.33933872453680014</v>
      </c>
      <c r="N258">
        <v>143</v>
      </c>
      <c r="O258">
        <v>4.4000000000000004</v>
      </c>
      <c r="P258">
        <v>111</v>
      </c>
    </row>
    <row r="259" spans="1:16" x14ac:dyDescent="0.25">
      <c r="A259">
        <f>Questionnaire!A260</f>
        <v>258</v>
      </c>
      <c r="B259" s="30" t="s">
        <v>32</v>
      </c>
      <c r="C259" s="24">
        <v>0.125</v>
      </c>
      <c r="D259" s="6">
        <v>8</v>
      </c>
      <c r="E259" s="10">
        <v>3</v>
      </c>
      <c r="F259" s="10">
        <v>1.2</v>
      </c>
      <c r="G259" s="10">
        <v>2</v>
      </c>
      <c r="H259" s="10">
        <v>1.2</v>
      </c>
      <c r="I259" s="12">
        <v>1</v>
      </c>
      <c r="J259" s="12">
        <f t="shared" ref="J259:J320" si="8">I259*16</f>
        <v>16</v>
      </c>
      <c r="K259" s="10">
        <v>3.8</v>
      </c>
      <c r="L259" s="12">
        <f>(((140-Questionnaire!B260)*Questionnaire!Y260)/(72*Results!I259))*0.85</f>
        <v>97.572916666666671</v>
      </c>
      <c r="M259" s="12">
        <f t="shared" ref="M259:M322" si="9">D259/J259</f>
        <v>0.5</v>
      </c>
      <c r="N259">
        <v>144</v>
      </c>
      <c r="O259">
        <v>3.7</v>
      </c>
      <c r="P259">
        <v>109</v>
      </c>
    </row>
    <row r="260" spans="1:16" x14ac:dyDescent="0.25">
      <c r="A260">
        <f>Questionnaire!A261</f>
        <v>259</v>
      </c>
      <c r="B260" s="30" t="s">
        <v>11</v>
      </c>
      <c r="C260" s="6">
        <v>8</v>
      </c>
      <c r="D260" s="54">
        <v>160</v>
      </c>
      <c r="E260" s="10">
        <v>4</v>
      </c>
      <c r="F260" s="10">
        <v>1.1000000000000001</v>
      </c>
      <c r="G260" s="10">
        <v>2</v>
      </c>
      <c r="H260" s="10">
        <v>2.5</v>
      </c>
      <c r="I260" s="12">
        <f>90.71/88.4</f>
        <v>1.0261312217194569</v>
      </c>
      <c r="J260" s="12">
        <f t="shared" si="8"/>
        <v>16.418099547511311</v>
      </c>
      <c r="K260" s="10">
        <v>4.8</v>
      </c>
      <c r="L260" s="12">
        <f>((140-Questionnaire!B261)*Questionnaire!Y261)/(72*Results!I260)</f>
        <v>48.672570707627486</v>
      </c>
      <c r="M260" s="12">
        <f t="shared" si="9"/>
        <v>9.7453422996362047</v>
      </c>
      <c r="N260">
        <v>144</v>
      </c>
      <c r="O260">
        <v>4.8</v>
      </c>
      <c r="P260">
        <v>112</v>
      </c>
    </row>
    <row r="261" spans="1:16" x14ac:dyDescent="0.25">
      <c r="A261">
        <f>Questionnaire!A262</f>
        <v>260</v>
      </c>
      <c r="B261" s="30" t="s">
        <v>32</v>
      </c>
      <c r="C261" s="6">
        <v>6</v>
      </c>
      <c r="D261" s="54">
        <v>160</v>
      </c>
      <c r="E261" s="10">
        <v>5</v>
      </c>
      <c r="F261" s="10">
        <v>1.3</v>
      </c>
      <c r="G261" s="10">
        <v>1</v>
      </c>
      <c r="H261" s="10">
        <v>3.2</v>
      </c>
      <c r="I261" s="12">
        <f>84.6/88.4</f>
        <v>0.9570135746606333</v>
      </c>
      <c r="J261" s="12">
        <f t="shared" si="8"/>
        <v>15.312217194570133</v>
      </c>
      <c r="K261" s="10">
        <v>6.2</v>
      </c>
      <c r="L261" s="12">
        <f>(((140-Questionnaire!B262)*Questionnaire!Y262)/(72*Results!I261))*0.85</f>
        <v>77.59236275282376</v>
      </c>
      <c r="M261" s="12">
        <f t="shared" si="9"/>
        <v>10.449172576832153</v>
      </c>
      <c r="N261">
        <v>144</v>
      </c>
      <c r="O261">
        <v>4.0999999999999996</v>
      </c>
      <c r="P261">
        <v>112</v>
      </c>
    </row>
    <row r="262" spans="1:16" x14ac:dyDescent="0.25">
      <c r="A262">
        <f>Questionnaire!A263</f>
        <v>261</v>
      </c>
      <c r="B262" s="30" t="s">
        <v>11</v>
      </c>
      <c r="C262" s="24">
        <v>6.0999999999999999E-2</v>
      </c>
      <c r="D262" s="6">
        <v>9</v>
      </c>
      <c r="E262" s="10">
        <v>3</v>
      </c>
      <c r="F262" s="10">
        <v>1.1000000000000001</v>
      </c>
      <c r="G262" s="10">
        <v>1</v>
      </c>
      <c r="H262" s="10">
        <v>1.5</v>
      </c>
      <c r="I262" s="12">
        <f>94.2/88.4</f>
        <v>1.0656108597285068</v>
      </c>
      <c r="J262" s="12">
        <f t="shared" si="8"/>
        <v>17.049773755656108</v>
      </c>
      <c r="K262" s="10">
        <v>8.1999999999999993</v>
      </c>
      <c r="L262" s="12">
        <f>((140-Questionnaire!B263)*Questionnaire!Y263)/(72*Results!I262)</f>
        <v>63.865298419438552</v>
      </c>
      <c r="M262" s="12">
        <f t="shared" si="9"/>
        <v>0.52786624203821653</v>
      </c>
      <c r="N262">
        <v>138</v>
      </c>
      <c r="O262">
        <v>4.0999999999999996</v>
      </c>
      <c r="P262">
        <v>104</v>
      </c>
    </row>
    <row r="263" spans="1:16" x14ac:dyDescent="0.25">
      <c r="A263">
        <f>Questionnaire!A264</f>
        <v>262</v>
      </c>
      <c r="B263" s="30" t="s">
        <v>11</v>
      </c>
      <c r="C263" s="6">
        <v>6.2</v>
      </c>
      <c r="D263" s="6">
        <v>17</v>
      </c>
      <c r="E263" s="10">
        <v>3</v>
      </c>
      <c r="F263" s="10">
        <v>0.7</v>
      </c>
      <c r="G263" s="10">
        <v>2</v>
      </c>
      <c r="H263" s="10">
        <v>1.8</v>
      </c>
      <c r="I263" s="12">
        <f>74.14/88.4</f>
        <v>0.83868778280542977</v>
      </c>
      <c r="J263" s="12">
        <f t="shared" si="8"/>
        <v>13.419004524886876</v>
      </c>
      <c r="K263" s="10">
        <v>3.9</v>
      </c>
      <c r="L263" s="12">
        <f>((140-Questionnaire!B264)*Questionnaire!Y264)/(72*Results!I263)</f>
        <v>94.062284566735613</v>
      </c>
      <c r="M263" s="12">
        <f t="shared" si="9"/>
        <v>1.2668599946048018</v>
      </c>
      <c r="N263">
        <v>138</v>
      </c>
      <c r="O263">
        <v>4.2</v>
      </c>
      <c r="P263">
        <v>104</v>
      </c>
    </row>
    <row r="264" spans="1:16" x14ac:dyDescent="0.25">
      <c r="A264">
        <f>Questionnaire!A265</f>
        <v>263</v>
      </c>
      <c r="B264" s="30" t="s">
        <v>32</v>
      </c>
      <c r="C264" s="6">
        <v>8.1999999999999993</v>
      </c>
      <c r="D264" s="6">
        <v>5</v>
      </c>
      <c r="E264" s="10">
        <v>3</v>
      </c>
      <c r="F264" s="10">
        <v>1.2</v>
      </c>
      <c r="G264" s="10">
        <v>1</v>
      </c>
      <c r="H264" s="10">
        <v>2</v>
      </c>
      <c r="I264" s="12">
        <v>0.8</v>
      </c>
      <c r="J264" s="12">
        <f t="shared" si="8"/>
        <v>12.8</v>
      </c>
      <c r="K264" s="10">
        <v>2.1</v>
      </c>
      <c r="L264" s="12">
        <f>(((140-Questionnaire!B265)*Questionnaire!Y265)/(72*Results!I264))*0.85</f>
        <v>95.418402777777771</v>
      </c>
      <c r="M264" s="12">
        <f t="shared" si="9"/>
        <v>0.390625</v>
      </c>
      <c r="N264">
        <v>137</v>
      </c>
      <c r="O264">
        <v>4.2</v>
      </c>
      <c r="P264">
        <v>108</v>
      </c>
    </row>
    <row r="265" spans="1:16" x14ac:dyDescent="0.25">
      <c r="A265">
        <f>Questionnaire!A266</f>
        <v>264</v>
      </c>
      <c r="B265" s="30" t="s">
        <v>32</v>
      </c>
      <c r="C265" s="6">
        <v>3.3</v>
      </c>
      <c r="D265" s="6">
        <v>8</v>
      </c>
      <c r="E265" s="10">
        <v>5</v>
      </c>
      <c r="F265" s="10">
        <v>1.7</v>
      </c>
      <c r="G265" s="10">
        <v>1</v>
      </c>
      <c r="H265" s="10">
        <v>2.8</v>
      </c>
      <c r="I265" s="12">
        <v>0.65</v>
      </c>
      <c r="J265" s="12">
        <f t="shared" si="8"/>
        <v>10.4</v>
      </c>
      <c r="K265" s="10">
        <v>5.2</v>
      </c>
      <c r="L265" s="12">
        <f>(((140-Questionnaire!B266)*Questionnaire!Y266)/(72*Results!I265))*0.85</f>
        <v>93.754273504273499</v>
      </c>
      <c r="M265" s="12">
        <f t="shared" si="9"/>
        <v>0.76923076923076916</v>
      </c>
      <c r="N265">
        <v>141</v>
      </c>
      <c r="O265">
        <v>4.2</v>
      </c>
      <c r="P265">
        <v>108</v>
      </c>
    </row>
    <row r="266" spans="1:16" x14ac:dyDescent="0.25">
      <c r="A266">
        <f>Questionnaire!A267</f>
        <v>265</v>
      </c>
      <c r="B266" s="30" t="s">
        <v>11</v>
      </c>
      <c r="C266" s="6">
        <v>14.7</v>
      </c>
      <c r="D266" s="54">
        <v>4</v>
      </c>
      <c r="E266" s="10">
        <v>3</v>
      </c>
      <c r="F266" s="10">
        <v>1</v>
      </c>
      <c r="G266" s="10">
        <v>2</v>
      </c>
      <c r="H266" s="10">
        <v>1.2</v>
      </c>
      <c r="I266" s="12">
        <v>0.75</v>
      </c>
      <c r="J266" s="12">
        <f t="shared" si="8"/>
        <v>12</v>
      </c>
      <c r="K266" s="10">
        <v>4.9000000000000004</v>
      </c>
      <c r="L266" s="12">
        <f>((140-Questionnaire!B267)*Questionnaire!Y267)/(72*Results!I266)</f>
        <v>94.296296296296291</v>
      </c>
      <c r="M266" s="12">
        <f t="shared" si="9"/>
        <v>0.33333333333333331</v>
      </c>
      <c r="N266">
        <v>139</v>
      </c>
      <c r="O266">
        <v>4.4000000000000004</v>
      </c>
      <c r="P266">
        <v>102</v>
      </c>
    </row>
    <row r="267" spans="1:16" x14ac:dyDescent="0.25">
      <c r="A267">
        <f>Questionnaire!A268</f>
        <v>266</v>
      </c>
      <c r="B267" s="30" t="s">
        <v>32</v>
      </c>
      <c r="C267" s="6">
        <v>5.6</v>
      </c>
      <c r="D267" s="6">
        <v>7</v>
      </c>
      <c r="E267" s="10">
        <v>5</v>
      </c>
      <c r="F267" s="10">
        <v>0.9</v>
      </c>
      <c r="G267" s="10">
        <v>1</v>
      </c>
      <c r="H267" s="10">
        <v>4.2</v>
      </c>
      <c r="I267" s="12">
        <v>1.1499999999999999</v>
      </c>
      <c r="J267" s="12">
        <f t="shared" si="8"/>
        <v>18.399999999999999</v>
      </c>
      <c r="K267" s="10">
        <v>3.7</v>
      </c>
      <c r="L267" s="12">
        <f>(((140-Questionnaire!B268)*Questionnaire!Y268)/(72*Results!I267))*0.85</f>
        <v>96.579710144927546</v>
      </c>
      <c r="M267" s="12">
        <f t="shared" si="9"/>
        <v>0.38043478260869568</v>
      </c>
      <c r="N267">
        <v>141</v>
      </c>
      <c r="O267">
        <v>4.0999999999999996</v>
      </c>
      <c r="P267">
        <v>109</v>
      </c>
    </row>
    <row r="268" spans="1:16" x14ac:dyDescent="0.25">
      <c r="A268">
        <f>Questionnaire!A269</f>
        <v>267</v>
      </c>
      <c r="B268" s="30" t="s">
        <v>11</v>
      </c>
      <c r="C268" s="6">
        <v>10</v>
      </c>
      <c r="D268" s="6">
        <v>8</v>
      </c>
      <c r="E268" s="10">
        <v>3</v>
      </c>
      <c r="F268" s="10">
        <v>1.1000000000000001</v>
      </c>
      <c r="G268" s="10">
        <v>1</v>
      </c>
      <c r="H268" s="10">
        <v>0.9</v>
      </c>
      <c r="I268" s="12">
        <f>100.3/88.4</f>
        <v>1.1346153846153846</v>
      </c>
      <c r="J268" s="12">
        <f t="shared" si="8"/>
        <v>18.153846153846153</v>
      </c>
      <c r="K268" s="10">
        <v>4.8</v>
      </c>
      <c r="L268" s="12">
        <f>((140-Questionnaire!B269)*Questionnaire!Y269)/(72*Results!I268)</f>
        <v>64.094161958568733</v>
      </c>
      <c r="M268" s="12">
        <f t="shared" si="9"/>
        <v>0.44067796610169491</v>
      </c>
      <c r="N268">
        <v>142</v>
      </c>
      <c r="O268">
        <v>4.5</v>
      </c>
      <c r="P268">
        <v>108</v>
      </c>
    </row>
    <row r="269" spans="1:16" x14ac:dyDescent="0.25">
      <c r="A269">
        <f>Questionnaire!A270</f>
        <v>268</v>
      </c>
      <c r="B269" s="30" t="s">
        <v>32</v>
      </c>
      <c r="C269" s="6">
        <v>12.7</v>
      </c>
      <c r="D269" s="6">
        <v>38</v>
      </c>
      <c r="E269" s="10">
        <v>3</v>
      </c>
      <c r="F269" s="10">
        <v>1.1000000000000001</v>
      </c>
      <c r="G269" s="10">
        <v>1</v>
      </c>
      <c r="H269" s="10">
        <v>1.6</v>
      </c>
      <c r="I269" s="12">
        <v>0.65</v>
      </c>
      <c r="J269" s="12">
        <f t="shared" si="8"/>
        <v>10.4</v>
      </c>
      <c r="K269" s="10">
        <v>4.2</v>
      </c>
      <c r="L269" s="12">
        <f>(((140-Questionnaire!B270)*Questionnaire!Y270)/(72*Results!I269))*0.85</f>
        <v>93.045940170940156</v>
      </c>
      <c r="M269" s="12">
        <f t="shared" si="9"/>
        <v>3.6538461538461537</v>
      </c>
      <c r="N269">
        <v>143</v>
      </c>
      <c r="O269">
        <v>4.5999999999999996</v>
      </c>
      <c r="P269">
        <v>109</v>
      </c>
    </row>
    <row r="270" spans="1:16" x14ac:dyDescent="0.25">
      <c r="A270">
        <f>Questionnaire!A271</f>
        <v>269</v>
      </c>
      <c r="B270" s="30" t="s">
        <v>11</v>
      </c>
      <c r="C270" s="6">
        <v>3.8</v>
      </c>
      <c r="D270" s="6">
        <v>78</v>
      </c>
      <c r="E270" s="10">
        <v>4</v>
      </c>
      <c r="F270" s="10">
        <v>0.9</v>
      </c>
      <c r="G270" s="10">
        <v>2</v>
      </c>
      <c r="H270" s="10">
        <v>2.1</v>
      </c>
      <c r="I270" s="12">
        <v>0.8</v>
      </c>
      <c r="J270" s="12">
        <f t="shared" si="8"/>
        <v>12.8</v>
      </c>
      <c r="K270" s="10">
        <v>6.5</v>
      </c>
      <c r="L270" s="12">
        <f>((140-Questionnaire!B271)*Questionnaire!Y271)/(72*Results!I270)</f>
        <v>98.854166666666657</v>
      </c>
      <c r="M270" s="12">
        <f t="shared" si="9"/>
        <v>6.09375</v>
      </c>
      <c r="N270">
        <v>143</v>
      </c>
      <c r="O270">
        <v>3.7</v>
      </c>
      <c r="P270">
        <v>108</v>
      </c>
    </row>
    <row r="271" spans="1:16" x14ac:dyDescent="0.25">
      <c r="A271">
        <f>Questionnaire!A272</f>
        <v>270</v>
      </c>
      <c r="B271" s="30" t="s">
        <v>32</v>
      </c>
      <c r="C271" s="6">
        <v>3.4</v>
      </c>
      <c r="D271" s="54">
        <v>160</v>
      </c>
      <c r="E271" s="10">
        <v>7</v>
      </c>
      <c r="F271" s="10">
        <v>1.4</v>
      </c>
      <c r="G271" s="10">
        <v>4</v>
      </c>
      <c r="H271" s="10">
        <v>4.3</v>
      </c>
      <c r="I271" s="12">
        <v>0.75</v>
      </c>
      <c r="J271" s="12">
        <f t="shared" si="8"/>
        <v>12</v>
      </c>
      <c r="K271" s="10">
        <v>4</v>
      </c>
      <c r="L271" s="12">
        <f>(((140-Questionnaire!B272)*Questionnaire!Y272)/(72*Results!I271))*0.85</f>
        <v>93.5</v>
      </c>
      <c r="M271" s="12">
        <f t="shared" si="9"/>
        <v>13.333333333333334</v>
      </c>
      <c r="N271">
        <v>140</v>
      </c>
      <c r="O271">
        <v>3.8</v>
      </c>
      <c r="P271">
        <v>106</v>
      </c>
    </row>
    <row r="272" spans="1:16" x14ac:dyDescent="0.25">
      <c r="A272">
        <f>Questionnaire!A273</f>
        <v>271</v>
      </c>
      <c r="B272" s="30" t="s">
        <v>11</v>
      </c>
      <c r="C272" s="6">
        <v>5</v>
      </c>
      <c r="D272" s="54">
        <v>160</v>
      </c>
      <c r="E272" s="10">
        <v>6</v>
      </c>
      <c r="F272" s="10">
        <v>2</v>
      </c>
      <c r="G272" s="10">
        <v>1</v>
      </c>
      <c r="H272" s="10">
        <v>2</v>
      </c>
      <c r="I272" s="12">
        <f>237.24/88.4</f>
        <v>2.6837104072398188</v>
      </c>
      <c r="J272" s="12">
        <f t="shared" si="8"/>
        <v>42.939366515837101</v>
      </c>
      <c r="K272" s="10">
        <v>17.7</v>
      </c>
      <c r="L272" s="12">
        <f>((140-Questionnaire!B273)*Questionnaire!Y273)/(72*Results!I272)</f>
        <v>23.599168212218292</v>
      </c>
      <c r="M272" s="12">
        <f t="shared" si="9"/>
        <v>3.7261844545607827</v>
      </c>
      <c r="N272">
        <v>138</v>
      </c>
      <c r="O272">
        <v>4.4000000000000004</v>
      </c>
      <c r="P272">
        <v>106</v>
      </c>
    </row>
    <row r="273" spans="1:16" x14ac:dyDescent="0.25">
      <c r="A273">
        <f>Questionnaire!A274</f>
        <v>272</v>
      </c>
      <c r="B273" s="30" t="s">
        <v>32</v>
      </c>
      <c r="C273" s="6">
        <v>14.3</v>
      </c>
      <c r="D273" s="6">
        <v>8</v>
      </c>
      <c r="E273" s="10">
        <v>4</v>
      </c>
      <c r="F273" s="10">
        <v>1.1000000000000001</v>
      </c>
      <c r="G273" s="10">
        <v>1</v>
      </c>
      <c r="H273" s="10">
        <v>2.2000000000000002</v>
      </c>
      <c r="I273" s="12">
        <v>0.7</v>
      </c>
      <c r="J273" s="12">
        <f t="shared" si="8"/>
        <v>11.2</v>
      </c>
      <c r="K273" s="10">
        <v>5.2</v>
      </c>
      <c r="L273" s="12">
        <f>(((140-Questionnaire!B274)*Questionnaire!Y274)/(72*Results!I273))*0.85</f>
        <v>93.061507936507937</v>
      </c>
      <c r="M273" s="12">
        <f t="shared" si="9"/>
        <v>0.7142857142857143</v>
      </c>
      <c r="N273">
        <v>142</v>
      </c>
      <c r="O273">
        <v>3.9</v>
      </c>
      <c r="P273">
        <v>112</v>
      </c>
    </row>
    <row r="274" spans="1:16" x14ac:dyDescent="0.25">
      <c r="A274">
        <f>Questionnaire!A275</f>
        <v>273</v>
      </c>
      <c r="B274" s="30" t="s">
        <v>32</v>
      </c>
      <c r="C274" s="6">
        <v>11</v>
      </c>
      <c r="D274" s="6">
        <v>16</v>
      </c>
      <c r="E274" s="10">
        <v>2</v>
      </c>
      <c r="F274" s="10">
        <v>0.7</v>
      </c>
      <c r="G274" s="10">
        <v>1</v>
      </c>
      <c r="H274" s="10">
        <v>1.4</v>
      </c>
      <c r="I274" s="12">
        <v>0.65</v>
      </c>
      <c r="J274" s="12">
        <f t="shared" si="8"/>
        <v>10.4</v>
      </c>
      <c r="K274" s="10">
        <v>4.2</v>
      </c>
      <c r="L274" s="12">
        <f>(((140-Questionnaire!B275)*Questionnaire!Y275)/(72*Results!I274))*0.85</f>
        <v>95.352564102564088</v>
      </c>
      <c r="M274" s="12">
        <f t="shared" si="9"/>
        <v>1.5384615384615383</v>
      </c>
      <c r="N274">
        <v>145</v>
      </c>
      <c r="O274">
        <v>4.7</v>
      </c>
      <c r="P274">
        <v>112</v>
      </c>
    </row>
    <row r="275" spans="1:16" x14ac:dyDescent="0.25">
      <c r="A275">
        <f>Questionnaire!A276</f>
        <v>274</v>
      </c>
      <c r="B275" s="30" t="s">
        <v>32</v>
      </c>
      <c r="C275" s="6">
        <v>14.2</v>
      </c>
      <c r="D275" s="6">
        <v>20</v>
      </c>
      <c r="E275" s="10">
        <v>5</v>
      </c>
      <c r="F275" s="10">
        <v>1</v>
      </c>
      <c r="G275" s="10">
        <v>2</v>
      </c>
      <c r="H275" s="10">
        <v>2.6</v>
      </c>
      <c r="I275" s="12">
        <v>0.75</v>
      </c>
      <c r="J275" s="12">
        <f t="shared" si="8"/>
        <v>12</v>
      </c>
      <c r="K275" s="10">
        <v>4.5999999999999996</v>
      </c>
      <c r="L275" s="12">
        <f>(((140-Questionnaire!B276)*Questionnaire!Y276)/(72*Results!I275))*0.85</f>
        <v>95.2</v>
      </c>
      <c r="M275" s="12">
        <f t="shared" si="9"/>
        <v>1.6666666666666667</v>
      </c>
      <c r="N275">
        <v>141</v>
      </c>
      <c r="O275">
        <v>4.0999999999999996</v>
      </c>
      <c r="P275">
        <v>105</v>
      </c>
    </row>
    <row r="276" spans="1:16" x14ac:dyDescent="0.25">
      <c r="A276">
        <f>Questionnaire!A277</f>
        <v>275</v>
      </c>
      <c r="B276" s="30" t="s">
        <v>62</v>
      </c>
      <c r="C276" s="6">
        <v>7</v>
      </c>
      <c r="D276" s="6">
        <v>139</v>
      </c>
      <c r="E276" s="10">
        <v>6</v>
      </c>
      <c r="F276" s="10">
        <v>1.1000000000000001</v>
      </c>
      <c r="G276" s="10">
        <v>2</v>
      </c>
      <c r="H276" s="10">
        <v>3.9</v>
      </c>
      <c r="I276" s="12">
        <f>84.6/88.4</f>
        <v>0.9570135746606333</v>
      </c>
      <c r="J276" s="12">
        <f t="shared" si="8"/>
        <v>15.312217194570133</v>
      </c>
      <c r="K276" s="10">
        <v>12</v>
      </c>
      <c r="L276" s="12">
        <f>(((140-Questionnaire!B277)*Questionnaire!Y277)/(72*Results!I276))*0.85</f>
        <v>73.028106120304713</v>
      </c>
      <c r="M276" s="12">
        <f t="shared" si="9"/>
        <v>9.0777186761229327</v>
      </c>
      <c r="N276">
        <v>141</v>
      </c>
      <c r="O276">
        <v>5</v>
      </c>
      <c r="P276">
        <v>107</v>
      </c>
    </row>
    <row r="277" spans="1:16" x14ac:dyDescent="0.25">
      <c r="A277">
        <f>Questionnaire!A278</f>
        <v>276</v>
      </c>
      <c r="B277" s="30" t="s">
        <v>32</v>
      </c>
      <c r="C277" s="6">
        <v>5.8</v>
      </c>
      <c r="D277" s="6">
        <v>19</v>
      </c>
      <c r="E277" s="10">
        <v>5</v>
      </c>
      <c r="F277" s="10">
        <v>1</v>
      </c>
      <c r="G277" s="10">
        <v>4</v>
      </c>
      <c r="H277" s="10">
        <v>2.7</v>
      </c>
      <c r="I277" s="12">
        <f>44.48/88.4</f>
        <v>0.50316742081447952</v>
      </c>
      <c r="J277" s="12">
        <f t="shared" si="8"/>
        <v>8.0506787330316723</v>
      </c>
      <c r="K277" s="10">
        <v>5</v>
      </c>
      <c r="L277" s="12">
        <f>(((140-Questionnaire!B278)*Questionnaire!Y278)/(72*Results!I277))*0.85</f>
        <v>96.900042466027202</v>
      </c>
      <c r="M277" s="12">
        <f t="shared" si="9"/>
        <v>2.3600494604316551</v>
      </c>
      <c r="N277">
        <v>141</v>
      </c>
      <c r="O277">
        <v>4.5</v>
      </c>
      <c r="P277">
        <v>108</v>
      </c>
    </row>
    <row r="278" spans="1:16" x14ac:dyDescent="0.25">
      <c r="A278">
        <f>Questionnaire!A279</f>
        <v>277</v>
      </c>
      <c r="B278" s="48" t="s">
        <v>32</v>
      </c>
      <c r="C278" s="48">
        <v>5.4</v>
      </c>
      <c r="D278" s="48">
        <v>4</v>
      </c>
      <c r="E278" s="48">
        <v>4</v>
      </c>
      <c r="F278" s="48">
        <v>2</v>
      </c>
      <c r="G278" s="48">
        <v>1.6</v>
      </c>
      <c r="H278" s="48">
        <v>1.4</v>
      </c>
      <c r="I278" s="49">
        <f>85/88.4</f>
        <v>0.96153846153846145</v>
      </c>
      <c r="J278" s="49">
        <f t="shared" si="8"/>
        <v>15.384615384615383</v>
      </c>
      <c r="K278" s="48">
        <v>6.8</v>
      </c>
      <c r="L278" s="49">
        <f>(((140-Questionnaire!B279)*Questionnaire!Y279)/(72*Results!I278))*0.85</f>
        <v>68.067999999999998</v>
      </c>
      <c r="M278" s="49">
        <f t="shared" si="9"/>
        <v>0.26</v>
      </c>
      <c r="N278" s="50">
        <v>143</v>
      </c>
      <c r="O278" s="50">
        <v>5.2</v>
      </c>
      <c r="P278" s="50">
        <v>114</v>
      </c>
    </row>
    <row r="279" spans="1:16" x14ac:dyDescent="0.25">
      <c r="A279">
        <f>Questionnaire!A280</f>
        <v>278</v>
      </c>
      <c r="B279" s="30" t="s">
        <v>32</v>
      </c>
      <c r="C279" s="6">
        <v>9.3000000000000007</v>
      </c>
      <c r="D279" s="54">
        <v>4</v>
      </c>
      <c r="E279" s="10">
        <v>5</v>
      </c>
      <c r="F279" s="10">
        <v>1.9</v>
      </c>
      <c r="G279" s="10">
        <v>2</v>
      </c>
      <c r="H279" s="10">
        <v>2.5</v>
      </c>
      <c r="I279" s="12">
        <v>1.1000000000000001</v>
      </c>
      <c r="J279" s="12">
        <f t="shared" si="8"/>
        <v>17.600000000000001</v>
      </c>
      <c r="K279" s="10">
        <v>3.1</v>
      </c>
      <c r="L279" s="12">
        <f>(((140-Questionnaire!B280)*Questionnaire!Y280)/(72*Results!I279))*0.85</f>
        <v>97.664141414141412</v>
      </c>
      <c r="M279" s="12">
        <f t="shared" si="9"/>
        <v>0.22727272727272727</v>
      </c>
      <c r="N279">
        <v>141</v>
      </c>
      <c r="O279">
        <v>3.7</v>
      </c>
      <c r="P279">
        <v>108</v>
      </c>
    </row>
    <row r="280" spans="1:16" x14ac:dyDescent="0.25">
      <c r="A280">
        <f>Questionnaire!A281</f>
        <v>279</v>
      </c>
      <c r="B280" s="30" t="s">
        <v>32</v>
      </c>
      <c r="C280" s="6">
        <v>8</v>
      </c>
      <c r="D280" s="6">
        <v>4</v>
      </c>
      <c r="E280" s="10">
        <v>5</v>
      </c>
      <c r="F280" s="43">
        <v>1.3</v>
      </c>
      <c r="G280" s="10">
        <v>1</v>
      </c>
      <c r="H280" s="10">
        <v>2.9</v>
      </c>
      <c r="I280" s="12">
        <f>79.37/88.4</f>
        <v>0.8978506787330317</v>
      </c>
      <c r="J280" s="12">
        <f t="shared" si="8"/>
        <v>14.365610859728507</v>
      </c>
      <c r="K280" s="10">
        <v>6.1</v>
      </c>
      <c r="L280" s="12">
        <f>(((140-Questionnaire!B281)*Questionnaire!Y281)/(72*Results!I280))*0.85</f>
        <v>79.944003471784754</v>
      </c>
      <c r="M280" s="12">
        <f t="shared" si="9"/>
        <v>0.27844273655033386</v>
      </c>
      <c r="N280">
        <v>139</v>
      </c>
      <c r="O280">
        <v>4</v>
      </c>
      <c r="P280">
        <v>105</v>
      </c>
    </row>
    <row r="281" spans="1:16" x14ac:dyDescent="0.25">
      <c r="A281">
        <f>Questionnaire!A282</f>
        <v>280</v>
      </c>
      <c r="B281" s="30" t="s">
        <v>11</v>
      </c>
      <c r="C281" s="6">
        <v>7.2</v>
      </c>
      <c r="D281" s="54">
        <v>5</v>
      </c>
      <c r="E281" s="10">
        <v>5</v>
      </c>
      <c r="F281" s="10">
        <v>1.3</v>
      </c>
      <c r="G281" s="10">
        <v>1</v>
      </c>
      <c r="H281" s="10">
        <v>3.4</v>
      </c>
      <c r="I281" s="12">
        <f>66.29/88.4</f>
        <v>0.7498868778280543</v>
      </c>
      <c r="J281" s="12">
        <f t="shared" si="8"/>
        <v>11.998190045248869</v>
      </c>
      <c r="K281" s="10">
        <v>4</v>
      </c>
      <c r="L281" s="12">
        <f>((140-Questionnaire!B282)*Questionnaire!Y282)/(72*Results!I281)</f>
        <v>88.1058815641709</v>
      </c>
      <c r="M281" s="12">
        <f t="shared" si="9"/>
        <v>0.41672952179815959</v>
      </c>
      <c r="N281">
        <v>143</v>
      </c>
      <c r="O281">
        <v>4.2</v>
      </c>
      <c r="P281">
        <v>109</v>
      </c>
    </row>
    <row r="282" spans="1:16" x14ac:dyDescent="0.25">
      <c r="A282">
        <f>Questionnaire!A283</f>
        <v>281</v>
      </c>
      <c r="B282" s="30" t="s">
        <v>11</v>
      </c>
      <c r="C282" s="6">
        <v>8.4</v>
      </c>
      <c r="D282" s="54">
        <v>5</v>
      </c>
      <c r="E282" s="48">
        <v>3</v>
      </c>
      <c r="F282" s="48">
        <v>0.9</v>
      </c>
      <c r="G282" s="48">
        <v>1.2</v>
      </c>
      <c r="H282" s="48">
        <v>1.6</v>
      </c>
      <c r="I282" s="49">
        <f>92/88.4</f>
        <v>1.0407239819004523</v>
      </c>
      <c r="J282" s="49">
        <f t="shared" si="8"/>
        <v>16.651583710407238</v>
      </c>
      <c r="K282" s="48">
        <v>6.2</v>
      </c>
      <c r="L282" s="12">
        <f>((140-Questionnaire!B283)*Questionnaire!Y283)/(72*Results!I282)</f>
        <v>79.004830917874401</v>
      </c>
      <c r="M282" s="12">
        <f t="shared" si="9"/>
        <v>0.30027173913043481</v>
      </c>
      <c r="N282">
        <v>136</v>
      </c>
      <c r="O282">
        <v>3.6</v>
      </c>
      <c r="P282">
        <v>99</v>
      </c>
    </row>
    <row r="283" spans="1:16" x14ac:dyDescent="0.25">
      <c r="A283">
        <f>Questionnaire!A284</f>
        <v>282</v>
      </c>
      <c r="B283" s="30" t="s">
        <v>11</v>
      </c>
      <c r="C283" s="6">
        <v>11.6</v>
      </c>
      <c r="D283" s="6">
        <v>30</v>
      </c>
      <c r="E283" s="10">
        <v>4</v>
      </c>
      <c r="F283" s="10">
        <v>0.9</v>
      </c>
      <c r="G283" s="10">
        <v>3</v>
      </c>
      <c r="H283" s="10">
        <v>1.9</v>
      </c>
      <c r="I283" s="12">
        <v>1.34</v>
      </c>
      <c r="J283" s="12">
        <f t="shared" si="8"/>
        <v>21.44</v>
      </c>
      <c r="K283" s="10">
        <v>4.5</v>
      </c>
      <c r="L283" s="12">
        <f>((140-Questionnaire!B284)*Questionnaire!Y284)/(72*Results!I283)</f>
        <v>98.528192371475953</v>
      </c>
      <c r="M283" s="12">
        <f t="shared" si="9"/>
        <v>1.3992537313432836</v>
      </c>
      <c r="N283">
        <v>143</v>
      </c>
      <c r="O283">
        <v>3.9</v>
      </c>
      <c r="P283">
        <v>108</v>
      </c>
    </row>
    <row r="284" spans="1:16" x14ac:dyDescent="0.25">
      <c r="A284">
        <f>Questionnaire!A285</f>
        <v>283</v>
      </c>
      <c r="B284" s="30" t="s">
        <v>32</v>
      </c>
      <c r="C284" s="6">
        <v>7.2</v>
      </c>
      <c r="D284" s="6">
        <v>6</v>
      </c>
      <c r="E284" s="10">
        <v>5</v>
      </c>
      <c r="F284" s="10">
        <v>1.5</v>
      </c>
      <c r="G284" s="10">
        <v>1</v>
      </c>
      <c r="H284" s="10">
        <v>2.7</v>
      </c>
      <c r="I284" s="12">
        <v>0.5</v>
      </c>
      <c r="J284" s="12">
        <f t="shared" si="8"/>
        <v>8</v>
      </c>
      <c r="K284" s="10">
        <v>4</v>
      </c>
      <c r="L284" s="12">
        <f>(((140-Questionnaire!B285)*Questionnaire!Y285)/(72*Results!I284))*0.85</f>
        <v>98.741666666666674</v>
      </c>
      <c r="M284" s="12">
        <f t="shared" si="9"/>
        <v>0.75</v>
      </c>
      <c r="N284">
        <v>144</v>
      </c>
      <c r="O284">
        <v>4</v>
      </c>
      <c r="P284">
        <v>108</v>
      </c>
    </row>
    <row r="285" spans="1:16" x14ac:dyDescent="0.25">
      <c r="A285">
        <f>Questionnaire!A286</f>
        <v>284</v>
      </c>
      <c r="B285" s="30" t="s">
        <v>11</v>
      </c>
      <c r="C285" s="6">
        <v>11.4</v>
      </c>
      <c r="D285" s="6">
        <v>12</v>
      </c>
      <c r="E285" s="10">
        <v>4</v>
      </c>
      <c r="F285" s="10">
        <v>2</v>
      </c>
      <c r="G285" s="10">
        <v>1</v>
      </c>
      <c r="H285" s="10">
        <v>1.5</v>
      </c>
      <c r="I285" s="12">
        <f>68.03/88.4</f>
        <v>0.76957013574660627</v>
      </c>
      <c r="J285" s="12">
        <f t="shared" si="8"/>
        <v>12.3131221719457</v>
      </c>
      <c r="K285" s="10">
        <v>4.3</v>
      </c>
      <c r="L285" s="12">
        <f>((140-Questionnaire!B286)*Questionnaire!Y286)/(72*Results!I285)</f>
        <v>67.082904600911363</v>
      </c>
      <c r="M285" s="12">
        <f t="shared" si="9"/>
        <v>0.97457004262825231</v>
      </c>
      <c r="N285">
        <v>141</v>
      </c>
      <c r="O285">
        <v>3.6</v>
      </c>
      <c r="P285">
        <v>105</v>
      </c>
    </row>
    <row r="286" spans="1:16" x14ac:dyDescent="0.25">
      <c r="A286">
        <f>Questionnaire!A287</f>
        <v>285</v>
      </c>
      <c r="B286" s="48" t="s">
        <v>11</v>
      </c>
      <c r="C286" s="48">
        <v>9.1999999999999993</v>
      </c>
      <c r="D286" s="48">
        <v>25</v>
      </c>
      <c r="E286" s="48">
        <v>5.2</v>
      </c>
      <c r="F286" s="48">
        <v>1.2</v>
      </c>
      <c r="G286" s="48">
        <v>1</v>
      </c>
      <c r="H286" s="48">
        <v>3.2</v>
      </c>
      <c r="I286" s="49">
        <f>86/88.4</f>
        <v>0.97285067873303166</v>
      </c>
      <c r="J286" s="49">
        <f t="shared" si="8"/>
        <v>15.565610859728507</v>
      </c>
      <c r="K286" s="48">
        <v>4.4000000000000004</v>
      </c>
      <c r="L286" s="49">
        <f>(((140-Questionnaire!B287)*Questionnaire!Y287)/(72*Results!I286))*0.85</f>
        <v>77.227222222222238</v>
      </c>
      <c r="M286" s="49">
        <f t="shared" si="9"/>
        <v>1.6061046511627908</v>
      </c>
      <c r="N286" s="50">
        <v>136</v>
      </c>
      <c r="O286" s="50">
        <v>3.8</v>
      </c>
      <c r="P286" s="50">
        <v>99</v>
      </c>
    </row>
    <row r="287" spans="1:16" x14ac:dyDescent="0.25">
      <c r="A287">
        <f>Questionnaire!A288</f>
        <v>286</v>
      </c>
      <c r="B287" s="30" t="s">
        <v>32</v>
      </c>
      <c r="C287" s="6">
        <v>8.4</v>
      </c>
      <c r="D287" s="6">
        <v>6</v>
      </c>
      <c r="E287" s="10">
        <v>6</v>
      </c>
      <c r="F287" s="10">
        <v>1.3</v>
      </c>
      <c r="G287" s="10">
        <v>1</v>
      </c>
      <c r="H287" s="10">
        <v>3.8</v>
      </c>
      <c r="I287" s="12">
        <v>0.85</v>
      </c>
      <c r="J287" s="12">
        <f t="shared" si="8"/>
        <v>13.6</v>
      </c>
      <c r="K287" s="10">
        <v>3.1</v>
      </c>
      <c r="L287" s="12">
        <f>(((140-Questionnaire!B288)*Questionnaire!Y288)/(72*Results!I287))*0.85</f>
        <v>94.791666666666671</v>
      </c>
      <c r="M287" s="12">
        <f t="shared" si="9"/>
        <v>0.44117647058823528</v>
      </c>
      <c r="N287">
        <v>143</v>
      </c>
      <c r="O287">
        <v>3.9</v>
      </c>
      <c r="P287">
        <v>108</v>
      </c>
    </row>
    <row r="288" spans="1:16" x14ac:dyDescent="0.25">
      <c r="A288">
        <f>Questionnaire!A289</f>
        <v>287</v>
      </c>
      <c r="B288" s="30" t="s">
        <v>32</v>
      </c>
      <c r="C288" s="6">
        <v>10.199999999999999</v>
      </c>
      <c r="D288" s="6">
        <v>14</v>
      </c>
      <c r="E288" s="10">
        <v>4</v>
      </c>
      <c r="F288" s="10">
        <v>1.1000000000000001</v>
      </c>
      <c r="G288" s="10">
        <v>2</v>
      </c>
      <c r="H288" s="10">
        <v>3</v>
      </c>
      <c r="I288" s="12">
        <v>1.25</v>
      </c>
      <c r="J288" s="12">
        <f t="shared" si="8"/>
        <v>20</v>
      </c>
      <c r="K288" s="10">
        <v>4.0999999999999996</v>
      </c>
      <c r="L288" s="12">
        <f>(((140-Questionnaire!B289)*Questionnaire!Y289)/(72*Results!I288))*0.85</f>
        <v>97.778333333333336</v>
      </c>
      <c r="M288" s="12">
        <f t="shared" si="9"/>
        <v>0.7</v>
      </c>
      <c r="N288">
        <v>145</v>
      </c>
      <c r="O288">
        <v>4.3</v>
      </c>
      <c r="P288">
        <v>111</v>
      </c>
    </row>
    <row r="289" spans="1:16" x14ac:dyDescent="0.25">
      <c r="A289">
        <f>Questionnaire!A290</f>
        <v>288</v>
      </c>
      <c r="B289" s="30" t="s">
        <v>32</v>
      </c>
      <c r="C289" s="6">
        <v>8.9</v>
      </c>
      <c r="D289" s="6">
        <v>9</v>
      </c>
      <c r="E289" s="10">
        <v>6</v>
      </c>
      <c r="F289" s="10">
        <v>1.2</v>
      </c>
      <c r="G289" s="10">
        <v>2</v>
      </c>
      <c r="H289" s="10">
        <v>3.4</v>
      </c>
      <c r="I289" s="12">
        <v>1.1000000000000001</v>
      </c>
      <c r="J289" s="12">
        <f t="shared" si="8"/>
        <v>17.600000000000001</v>
      </c>
      <c r="K289" s="10">
        <v>4.5999999999999996</v>
      </c>
      <c r="L289" s="12">
        <f>(((140-Questionnaire!B290)*Questionnaire!Y290)/(72*Results!I289))*0.85</f>
        <v>98.640782828282823</v>
      </c>
      <c r="M289" s="12">
        <f t="shared" si="9"/>
        <v>0.51136363636363635</v>
      </c>
      <c r="N289">
        <v>143</v>
      </c>
      <c r="O289">
        <v>4.0999999999999996</v>
      </c>
      <c r="P289">
        <v>110</v>
      </c>
    </row>
    <row r="290" spans="1:16" x14ac:dyDescent="0.25">
      <c r="A290">
        <f>Questionnaire!A291</f>
        <v>289</v>
      </c>
      <c r="B290" s="30" t="s">
        <v>32</v>
      </c>
      <c r="C290" s="6">
        <v>9.9</v>
      </c>
      <c r="D290" s="54">
        <v>4</v>
      </c>
      <c r="E290" s="10">
        <v>5</v>
      </c>
      <c r="F290" s="10">
        <v>1.5</v>
      </c>
      <c r="G290" s="10">
        <v>1</v>
      </c>
      <c r="H290" s="10">
        <v>2.7</v>
      </c>
      <c r="I290" s="12">
        <v>0.8</v>
      </c>
      <c r="J290" s="12">
        <f t="shared" si="8"/>
        <v>12.8</v>
      </c>
      <c r="K290" s="10">
        <v>6.3</v>
      </c>
      <c r="L290" s="12">
        <f>(((140-Questionnaire!B291)*Questionnaire!Y291)/(72*Results!I290))*0.85</f>
        <v>90.902777777777771</v>
      </c>
      <c r="M290" s="12">
        <f t="shared" si="9"/>
        <v>0.3125</v>
      </c>
      <c r="N290">
        <v>144</v>
      </c>
      <c r="O290">
        <v>3.7</v>
      </c>
      <c r="P290">
        <v>108</v>
      </c>
    </row>
    <row r="291" spans="1:16" x14ac:dyDescent="0.25">
      <c r="A291">
        <f>Questionnaire!A292</f>
        <v>290</v>
      </c>
      <c r="B291" s="30" t="s">
        <v>32</v>
      </c>
      <c r="C291" s="6">
        <v>12.3</v>
      </c>
      <c r="D291" s="54">
        <v>4</v>
      </c>
      <c r="E291" s="10">
        <v>5</v>
      </c>
      <c r="F291" s="10">
        <v>1.6</v>
      </c>
      <c r="G291" s="10">
        <v>1</v>
      </c>
      <c r="H291" s="10">
        <v>3</v>
      </c>
      <c r="I291" s="12">
        <v>0.75</v>
      </c>
      <c r="J291" s="12">
        <f t="shared" si="8"/>
        <v>12</v>
      </c>
      <c r="K291" s="10">
        <v>4.5</v>
      </c>
      <c r="L291" s="12">
        <f>(((140-Questionnaire!B292)*Questionnaire!Y292)/(72*Results!I291))*0.85</f>
        <v>91.296296296296291</v>
      </c>
      <c r="M291" s="12">
        <f t="shared" si="9"/>
        <v>0.33333333333333331</v>
      </c>
      <c r="N291">
        <v>142</v>
      </c>
      <c r="O291">
        <v>4</v>
      </c>
      <c r="P291">
        <v>108</v>
      </c>
    </row>
    <row r="292" spans="1:16" x14ac:dyDescent="0.25">
      <c r="A292">
        <f>Questionnaire!A293</f>
        <v>291</v>
      </c>
      <c r="B292" s="30" t="s">
        <v>152</v>
      </c>
      <c r="C292" s="6">
        <v>7.5</v>
      </c>
      <c r="D292" s="6">
        <v>7</v>
      </c>
      <c r="E292" s="10">
        <v>3</v>
      </c>
      <c r="F292" s="10">
        <v>1.3</v>
      </c>
      <c r="G292" s="10">
        <v>2</v>
      </c>
      <c r="H292" s="10">
        <v>1.1000000000000001</v>
      </c>
      <c r="I292" s="12">
        <f>65.42/88.4</f>
        <v>0.7400452488687782</v>
      </c>
      <c r="J292" s="12">
        <f t="shared" si="8"/>
        <v>11.840723981900451</v>
      </c>
      <c r="K292" s="10">
        <v>6.4</v>
      </c>
      <c r="L292" s="12">
        <f>((140-Questionnaire!B293)*Questionnaire!Y293)/(72*Results!I292)</f>
        <v>78.373586059309091</v>
      </c>
      <c r="M292" s="12">
        <f t="shared" si="9"/>
        <v>0.59118006725771943</v>
      </c>
      <c r="N292">
        <v>136</v>
      </c>
      <c r="O292">
        <v>4.5999999999999996</v>
      </c>
      <c r="P292">
        <v>101</v>
      </c>
    </row>
    <row r="293" spans="1:16" x14ac:dyDescent="0.25">
      <c r="A293">
        <f>Questionnaire!A294</f>
        <v>292</v>
      </c>
      <c r="B293" s="30" t="s">
        <v>32</v>
      </c>
      <c r="C293" s="6">
        <v>9.3000000000000007</v>
      </c>
      <c r="D293" s="6">
        <v>9</v>
      </c>
      <c r="E293" s="10">
        <v>3</v>
      </c>
      <c r="F293" s="10">
        <v>1</v>
      </c>
      <c r="G293" s="10">
        <v>1</v>
      </c>
      <c r="H293" s="10">
        <v>1.6</v>
      </c>
      <c r="I293" s="12">
        <v>0.7</v>
      </c>
      <c r="J293" s="12">
        <f t="shared" si="8"/>
        <v>11.2</v>
      </c>
      <c r="K293" s="10">
        <v>2.9</v>
      </c>
      <c r="L293" s="12">
        <f>(((140-Questionnaire!B294)*Questionnaire!Y294)/(72*Results!I293))*0.85</f>
        <v>98.660714285714278</v>
      </c>
      <c r="M293" s="12">
        <f t="shared" si="9"/>
        <v>0.8035714285714286</v>
      </c>
      <c r="N293">
        <v>138</v>
      </c>
      <c r="O293">
        <v>4.5</v>
      </c>
      <c r="P293">
        <v>105</v>
      </c>
    </row>
    <row r="294" spans="1:16" x14ac:dyDescent="0.25">
      <c r="A294">
        <f>Questionnaire!A295</f>
        <v>293</v>
      </c>
      <c r="B294" s="30" t="s">
        <v>11</v>
      </c>
      <c r="C294" s="6">
        <v>9.6</v>
      </c>
      <c r="D294" s="6">
        <v>6</v>
      </c>
      <c r="E294" s="10">
        <v>5</v>
      </c>
      <c r="F294" s="10">
        <v>1.3</v>
      </c>
      <c r="G294" s="10">
        <v>1</v>
      </c>
      <c r="H294" s="10">
        <v>3.4</v>
      </c>
      <c r="I294" s="12">
        <v>0.8</v>
      </c>
      <c r="J294" s="12">
        <f t="shared" si="8"/>
        <v>12.8</v>
      </c>
      <c r="K294" s="10">
        <v>4.3</v>
      </c>
      <c r="L294" s="12">
        <f>((140-Questionnaire!B295)*Questionnaire!Y295)/(72*Results!I294)</f>
        <v>99.305555555555557</v>
      </c>
      <c r="M294" s="12">
        <f t="shared" si="9"/>
        <v>0.46875</v>
      </c>
      <c r="N294">
        <v>143</v>
      </c>
      <c r="O294">
        <v>5.7</v>
      </c>
      <c r="P294">
        <v>107</v>
      </c>
    </row>
    <row r="295" spans="1:16" x14ac:dyDescent="0.25">
      <c r="A295">
        <f>Questionnaire!A296</f>
        <v>294</v>
      </c>
      <c r="B295" s="30" t="s">
        <v>32</v>
      </c>
      <c r="C295" s="6">
        <v>10</v>
      </c>
      <c r="D295" s="6">
        <v>22</v>
      </c>
      <c r="E295" s="10">
        <v>4</v>
      </c>
      <c r="F295" s="10">
        <v>1.1000000000000001</v>
      </c>
      <c r="G295" s="10">
        <v>1</v>
      </c>
      <c r="H295" s="10">
        <v>2.1</v>
      </c>
      <c r="I295" s="12">
        <f>68.03/88.4</f>
        <v>0.76957013574660627</v>
      </c>
      <c r="J295" s="12">
        <f t="shared" si="8"/>
        <v>12.3131221719457</v>
      </c>
      <c r="K295" s="10">
        <v>4.7</v>
      </c>
      <c r="L295" s="12">
        <f>(((140-Questionnaire!B296)*Questionnaire!Y296)/(72*Results!I295))*0.85</f>
        <v>48.092324464696944</v>
      </c>
      <c r="M295" s="12">
        <f t="shared" si="9"/>
        <v>1.7867117448184626</v>
      </c>
      <c r="N295">
        <v>144</v>
      </c>
      <c r="O295">
        <v>5.2</v>
      </c>
      <c r="P295">
        <v>108</v>
      </c>
    </row>
    <row r="296" spans="1:16" x14ac:dyDescent="0.25">
      <c r="A296">
        <f>Questionnaire!A297</f>
        <v>295</v>
      </c>
      <c r="B296" s="30" t="s">
        <v>32</v>
      </c>
      <c r="C296" s="6">
        <v>10.6</v>
      </c>
      <c r="D296" s="6">
        <v>7</v>
      </c>
      <c r="E296" s="10">
        <v>7</v>
      </c>
      <c r="F296" s="10">
        <v>1.8</v>
      </c>
      <c r="G296" s="10">
        <v>1</v>
      </c>
      <c r="H296" s="10">
        <v>4.2</v>
      </c>
      <c r="I296" s="12">
        <f>57.57/88.4</f>
        <v>0.65124434389140262</v>
      </c>
      <c r="J296" s="12">
        <f t="shared" si="8"/>
        <v>10.419909502262442</v>
      </c>
      <c r="K296" s="10">
        <v>6.8</v>
      </c>
      <c r="L296" s="12">
        <f>(((140-Questionnaire!B297)*Questionnaire!Y297)/(72*Results!I296))*0.85</f>
        <v>74.396039603960403</v>
      </c>
      <c r="M296" s="12">
        <f t="shared" si="9"/>
        <v>0.67179086329685611</v>
      </c>
      <c r="N296">
        <v>138</v>
      </c>
      <c r="O296">
        <v>4</v>
      </c>
      <c r="P296">
        <v>104</v>
      </c>
    </row>
    <row r="297" spans="1:16" x14ac:dyDescent="0.25">
      <c r="A297">
        <f>Questionnaire!A298</f>
        <v>296</v>
      </c>
      <c r="B297" s="30" t="s">
        <v>32</v>
      </c>
      <c r="C297" s="6">
        <v>9.6999999999999993</v>
      </c>
      <c r="D297" s="54">
        <v>160</v>
      </c>
      <c r="E297" s="10">
        <v>7</v>
      </c>
      <c r="F297" s="10">
        <v>1.6</v>
      </c>
      <c r="G297" s="10">
        <v>4</v>
      </c>
      <c r="H297" s="10">
        <v>3</v>
      </c>
      <c r="I297" s="12">
        <f>147.4/88.4</f>
        <v>1.6674208144796379</v>
      </c>
      <c r="J297" s="12">
        <f t="shared" si="8"/>
        <v>26.678733031674206</v>
      </c>
      <c r="K297" s="10">
        <v>11.6</v>
      </c>
      <c r="L297" s="12">
        <f>(((140-Questionnaire!B298)*Questionnaire!Y298)/(72*Results!I297))*0.85</f>
        <v>30.232153625810348</v>
      </c>
      <c r="M297" s="12">
        <f t="shared" si="9"/>
        <v>5.9972862957937592</v>
      </c>
      <c r="N297">
        <v>142</v>
      </c>
      <c r="O297">
        <v>4.7</v>
      </c>
      <c r="P297">
        <v>116</v>
      </c>
    </row>
    <row r="298" spans="1:16" x14ac:dyDescent="0.25">
      <c r="A298">
        <f>Questionnaire!A299</f>
        <v>297</v>
      </c>
      <c r="B298" s="30" t="s">
        <v>11</v>
      </c>
      <c r="C298" s="6">
        <v>8.9</v>
      </c>
      <c r="D298" s="6">
        <v>5</v>
      </c>
      <c r="E298" s="10">
        <v>3</v>
      </c>
      <c r="F298" s="10">
        <v>1.1000000000000001</v>
      </c>
      <c r="G298" s="10">
        <v>1</v>
      </c>
      <c r="H298" s="10">
        <v>1.9</v>
      </c>
      <c r="I298" s="12">
        <f>73.27/88.4</f>
        <v>0.82884615384615379</v>
      </c>
      <c r="J298" s="12">
        <f t="shared" si="8"/>
        <v>13.261538461538461</v>
      </c>
      <c r="K298" s="10">
        <v>6</v>
      </c>
      <c r="L298" s="12">
        <f>((140-Questionnaire!B299)*Questionnaire!Y299)/(72*Results!I298)</f>
        <v>89.816963134828569</v>
      </c>
      <c r="M298" s="12">
        <f t="shared" si="9"/>
        <v>0.37703016241299309</v>
      </c>
      <c r="N298">
        <v>143</v>
      </c>
      <c r="O298">
        <v>4.8</v>
      </c>
      <c r="P298">
        <v>110</v>
      </c>
    </row>
    <row r="299" spans="1:16" x14ac:dyDescent="0.25">
      <c r="A299">
        <f>Questionnaire!A300</f>
        <v>298</v>
      </c>
      <c r="B299" s="30" t="s">
        <v>32</v>
      </c>
      <c r="C299" s="6">
        <v>9.1999999999999993</v>
      </c>
      <c r="D299" s="54">
        <v>4</v>
      </c>
      <c r="E299" s="10">
        <v>4</v>
      </c>
      <c r="F299" s="10">
        <v>1.1000000000000001</v>
      </c>
      <c r="G299" s="10">
        <v>1</v>
      </c>
      <c r="H299" s="10">
        <v>2.6</v>
      </c>
      <c r="I299" s="12">
        <v>0.9</v>
      </c>
      <c r="J299" s="12">
        <f t="shared" si="8"/>
        <v>14.4</v>
      </c>
      <c r="K299" s="10">
        <v>3.1</v>
      </c>
      <c r="L299" s="12">
        <f>(((140-Questionnaire!B300)*Questionnaire!Y300)/(72*Results!I299))*0.85</f>
        <v>98.222222222222214</v>
      </c>
      <c r="M299" s="12">
        <f t="shared" si="9"/>
        <v>0.27777777777777779</v>
      </c>
      <c r="N299">
        <v>140</v>
      </c>
      <c r="O299">
        <v>3.5</v>
      </c>
      <c r="P299">
        <v>108</v>
      </c>
    </row>
    <row r="300" spans="1:16" x14ac:dyDescent="0.25">
      <c r="A300">
        <f>Questionnaire!A301</f>
        <v>299</v>
      </c>
      <c r="B300" s="30" t="s">
        <v>11</v>
      </c>
      <c r="C300" s="6">
        <v>11.2</v>
      </c>
      <c r="D300" s="6">
        <v>22</v>
      </c>
      <c r="E300" s="10">
        <v>4.5999999999999996</v>
      </c>
      <c r="F300" s="10">
        <v>1.2</v>
      </c>
      <c r="G300" s="10">
        <v>1.7</v>
      </c>
      <c r="H300" s="10">
        <v>2.5</v>
      </c>
      <c r="I300" s="12">
        <f>89/88.4</f>
        <v>1.0067873303167421</v>
      </c>
      <c r="J300" s="12">
        <f t="shared" si="8"/>
        <v>16.108597285067873</v>
      </c>
      <c r="K300" s="10">
        <v>5.0999999999999996</v>
      </c>
      <c r="L300" s="12">
        <f>((140-Questionnaire!B301)*Questionnaire!Y301)/(72*Results!I300)</f>
        <v>73.914981273408245</v>
      </c>
      <c r="M300" s="12">
        <f t="shared" si="9"/>
        <v>1.3657303370786518</v>
      </c>
      <c r="N300">
        <v>136</v>
      </c>
      <c r="O300">
        <v>4</v>
      </c>
      <c r="P300">
        <v>99</v>
      </c>
    </row>
    <row r="301" spans="1:16" x14ac:dyDescent="0.25">
      <c r="A301">
        <f>Questionnaire!A302</f>
        <v>300</v>
      </c>
      <c r="B301" s="30" t="s">
        <v>32</v>
      </c>
      <c r="C301" s="6">
        <v>9.6</v>
      </c>
      <c r="D301" s="54">
        <v>4</v>
      </c>
      <c r="E301" s="10">
        <v>3</v>
      </c>
      <c r="F301" s="10">
        <v>1.6</v>
      </c>
      <c r="G301" s="10">
        <v>1</v>
      </c>
      <c r="H301" s="10">
        <v>1.7</v>
      </c>
      <c r="I301" s="12">
        <v>0.9</v>
      </c>
      <c r="J301" s="12">
        <f t="shared" si="8"/>
        <v>14.4</v>
      </c>
      <c r="K301" s="10">
        <v>6.8</v>
      </c>
      <c r="L301" s="12">
        <f>(((140-Questionnaire!B302)*Questionnaire!Y302)/(72*Results!I301))*0.85</f>
        <v>97.002314814814824</v>
      </c>
      <c r="M301" s="12">
        <f t="shared" si="9"/>
        <v>0.27777777777777779</v>
      </c>
      <c r="N301">
        <v>144</v>
      </c>
      <c r="O301">
        <v>3.6</v>
      </c>
      <c r="P301">
        <v>108</v>
      </c>
    </row>
    <row r="302" spans="1:16" x14ac:dyDescent="0.25">
      <c r="A302">
        <f>Questionnaire!A303</f>
        <v>301</v>
      </c>
      <c r="B302" s="30" t="s">
        <v>11</v>
      </c>
      <c r="C302" s="6">
        <v>9.8000000000000007</v>
      </c>
      <c r="D302" s="54">
        <v>160</v>
      </c>
      <c r="E302" s="10">
        <v>5</v>
      </c>
      <c r="F302" s="10">
        <v>1.1000000000000001</v>
      </c>
      <c r="G302" s="10">
        <v>3</v>
      </c>
      <c r="H302" s="10">
        <v>3.1</v>
      </c>
      <c r="I302" s="12">
        <v>1</v>
      </c>
      <c r="J302" s="12">
        <f t="shared" si="8"/>
        <v>16</v>
      </c>
      <c r="K302" s="10">
        <v>5.4</v>
      </c>
      <c r="L302" s="12">
        <f>((140-Questionnaire!B303)*Questionnaire!Y303)/(72*Results!I302)</f>
        <v>98.583333333333329</v>
      </c>
      <c r="M302" s="12">
        <f t="shared" si="9"/>
        <v>10</v>
      </c>
      <c r="N302">
        <v>139</v>
      </c>
      <c r="O302">
        <v>4.3</v>
      </c>
      <c r="P302">
        <v>105</v>
      </c>
    </row>
    <row r="303" spans="1:16" x14ac:dyDescent="0.25">
      <c r="A303">
        <f>Questionnaire!A304</f>
        <v>302</v>
      </c>
      <c r="B303" s="30" t="s">
        <v>32</v>
      </c>
      <c r="C303" s="6">
        <v>12.8</v>
      </c>
      <c r="D303" s="54">
        <v>4</v>
      </c>
      <c r="E303" s="10">
        <v>4</v>
      </c>
      <c r="F303" s="10">
        <v>1.1000000000000001</v>
      </c>
      <c r="G303" s="10">
        <v>2</v>
      </c>
      <c r="H303" s="10">
        <v>2.6</v>
      </c>
      <c r="I303" s="12">
        <f>62.8/88.4</f>
        <v>0.71040723981900444</v>
      </c>
      <c r="J303" s="12">
        <f t="shared" si="8"/>
        <v>11.366515837104071</v>
      </c>
      <c r="K303" s="10">
        <v>4.5999999999999996</v>
      </c>
      <c r="L303" s="12">
        <f>(((140-Questionnaire!B304)*Questionnaire!Y304)/(72*Results!I303))*0.85</f>
        <v>97.713906581740986</v>
      </c>
      <c r="M303" s="12">
        <f t="shared" si="9"/>
        <v>0.35191082802547774</v>
      </c>
      <c r="N303">
        <v>139</v>
      </c>
      <c r="O303">
        <v>4</v>
      </c>
      <c r="P303">
        <v>104</v>
      </c>
    </row>
    <row r="304" spans="1:16" x14ac:dyDescent="0.25">
      <c r="A304">
        <f>Questionnaire!A305</f>
        <v>303</v>
      </c>
      <c r="B304" s="30" t="s">
        <v>32</v>
      </c>
      <c r="C304" s="6">
        <v>6.3</v>
      </c>
      <c r="D304" s="6">
        <v>18</v>
      </c>
      <c r="E304" s="10">
        <v>4</v>
      </c>
      <c r="F304" s="10">
        <v>1.3</v>
      </c>
      <c r="G304" s="10">
        <v>1</v>
      </c>
      <c r="H304" s="10">
        <v>1.6</v>
      </c>
      <c r="I304" s="12">
        <f>111.64/88.4</f>
        <v>1.2628959276018099</v>
      </c>
      <c r="J304" s="12">
        <f t="shared" si="8"/>
        <v>20.206334841628959</v>
      </c>
      <c r="K304" s="10">
        <v>7.1</v>
      </c>
      <c r="L304" s="12">
        <f>(((140-Questionnaire!B305)*Questionnaire!Y305)/(72*Results!I304))*0.85</f>
        <v>50.058558760300961</v>
      </c>
      <c r="M304" s="12">
        <f t="shared" si="9"/>
        <v>0.89080974561089221</v>
      </c>
      <c r="N304">
        <v>143</v>
      </c>
      <c r="O304">
        <v>4.4000000000000004</v>
      </c>
      <c r="P304">
        <v>109</v>
      </c>
    </row>
    <row r="305" spans="1:16" x14ac:dyDescent="0.25">
      <c r="A305">
        <f>Questionnaire!A306</f>
        <v>304</v>
      </c>
      <c r="B305" s="30" t="s">
        <v>32</v>
      </c>
      <c r="C305" s="6">
        <v>9.3000000000000007</v>
      </c>
      <c r="D305" s="54">
        <v>160</v>
      </c>
      <c r="E305" s="10">
        <v>7</v>
      </c>
      <c r="F305" s="10">
        <v>1.3</v>
      </c>
      <c r="G305" s="10">
        <v>2</v>
      </c>
      <c r="H305" s="10">
        <v>3.9</v>
      </c>
      <c r="I305" s="12">
        <f>50.59/88.4</f>
        <v>0.57228506787330313</v>
      </c>
      <c r="J305" s="12">
        <f t="shared" si="8"/>
        <v>9.1565610859728501</v>
      </c>
      <c r="K305" s="10">
        <v>3.9</v>
      </c>
      <c r="L305" s="12">
        <f>(((140-Questionnaire!B306)*Questionnaire!Y306)/(72*Results!I305))*0.85</f>
        <v>87.878698029913679</v>
      </c>
      <c r="M305" s="12">
        <f t="shared" si="9"/>
        <v>17.473809053172566</v>
      </c>
      <c r="N305">
        <v>138</v>
      </c>
      <c r="O305">
        <v>3.9</v>
      </c>
      <c r="P305">
        <v>105</v>
      </c>
    </row>
    <row r="306" spans="1:16" x14ac:dyDescent="0.25">
      <c r="A306">
        <f>Questionnaire!A307</f>
        <v>305</v>
      </c>
      <c r="B306" s="30" t="s">
        <v>11</v>
      </c>
      <c r="C306" s="6">
        <v>6</v>
      </c>
      <c r="D306" s="6">
        <v>22</v>
      </c>
      <c r="E306" s="10">
        <v>6</v>
      </c>
      <c r="F306" s="10">
        <v>1.2</v>
      </c>
      <c r="G306" s="10">
        <v>1</v>
      </c>
      <c r="H306" s="10">
        <v>3.9</v>
      </c>
      <c r="I306" s="12">
        <v>1</v>
      </c>
      <c r="J306" s="12">
        <f t="shared" si="8"/>
        <v>16</v>
      </c>
      <c r="K306" s="10">
        <v>4</v>
      </c>
      <c r="L306" s="12">
        <f>((140-Questionnaire!B307)*Questionnaire!Y307)/(72*Results!I306)</f>
        <v>94.25</v>
      </c>
      <c r="M306" s="12">
        <f t="shared" si="9"/>
        <v>1.375</v>
      </c>
      <c r="N306">
        <v>143</v>
      </c>
      <c r="O306">
        <v>3</v>
      </c>
      <c r="P306">
        <v>104</v>
      </c>
    </row>
    <row r="307" spans="1:16" x14ac:dyDescent="0.25">
      <c r="A307">
        <f>Questionnaire!A308</f>
        <v>306</v>
      </c>
      <c r="B307" s="30" t="s">
        <v>32</v>
      </c>
      <c r="C307" s="6">
        <v>4.3</v>
      </c>
      <c r="D307" s="54">
        <v>160</v>
      </c>
      <c r="E307" s="10">
        <v>5</v>
      </c>
      <c r="F307" s="10">
        <v>0.9</v>
      </c>
      <c r="G307" s="10">
        <v>4</v>
      </c>
      <c r="H307" s="10">
        <v>2</v>
      </c>
      <c r="I307" s="12">
        <f>341.91/88.4</f>
        <v>3.8677601809954751</v>
      </c>
      <c r="J307" s="12">
        <f t="shared" si="8"/>
        <v>61.884162895927602</v>
      </c>
      <c r="K307" s="10">
        <v>14.8</v>
      </c>
      <c r="L307" s="12">
        <f>(((140-Questionnaire!B308)*Questionnaire!Y308)/(72*Results!I307))*0.85</f>
        <v>16.427466292299144</v>
      </c>
      <c r="M307" s="12">
        <f t="shared" si="9"/>
        <v>2.585475709982159</v>
      </c>
      <c r="N307">
        <v>143</v>
      </c>
      <c r="O307">
        <v>4.3</v>
      </c>
      <c r="P307">
        <v>114</v>
      </c>
    </row>
    <row r="308" spans="1:16" x14ac:dyDescent="0.25">
      <c r="A308">
        <f>Questionnaire!A309</f>
        <v>307</v>
      </c>
      <c r="B308" s="30" t="s">
        <v>153</v>
      </c>
      <c r="C308" s="6">
        <v>4.5</v>
      </c>
      <c r="D308" s="54">
        <v>4</v>
      </c>
      <c r="E308" s="10">
        <v>3</v>
      </c>
      <c r="F308" s="10">
        <v>1.2</v>
      </c>
      <c r="G308" s="10">
        <v>1</v>
      </c>
      <c r="H308" s="10">
        <v>1.1000000000000001</v>
      </c>
      <c r="I308" s="12">
        <v>0.86</v>
      </c>
      <c r="J308" s="12">
        <f t="shared" si="8"/>
        <v>13.76</v>
      </c>
      <c r="K308" s="10">
        <v>5.8</v>
      </c>
      <c r="L308" s="12">
        <f>((140-Questionnaire!B309)*Questionnaire!Y309)/(72*Results!I308)</f>
        <v>93.023255813953483</v>
      </c>
      <c r="M308" s="12">
        <f t="shared" si="9"/>
        <v>0.29069767441860467</v>
      </c>
      <c r="N308">
        <v>142</v>
      </c>
      <c r="O308">
        <v>4.2</v>
      </c>
      <c r="P308">
        <v>108</v>
      </c>
    </row>
    <row r="309" spans="1:16" x14ac:dyDescent="0.25">
      <c r="A309">
        <f>Questionnaire!A310</f>
        <v>308</v>
      </c>
      <c r="B309" s="30" t="s">
        <v>32</v>
      </c>
      <c r="C309" s="6">
        <v>3</v>
      </c>
      <c r="D309" s="54">
        <v>4</v>
      </c>
      <c r="E309" s="10">
        <v>5</v>
      </c>
      <c r="F309" s="10">
        <v>1.2</v>
      </c>
      <c r="G309" s="10">
        <v>2</v>
      </c>
      <c r="H309" s="10">
        <v>2.9</v>
      </c>
      <c r="I309" s="12">
        <f>68.03/88.4</f>
        <v>0.76957013574660627</v>
      </c>
      <c r="J309" s="12">
        <f t="shared" si="8"/>
        <v>12.3131221719457</v>
      </c>
      <c r="K309" s="10">
        <v>4.2</v>
      </c>
      <c r="L309" s="12">
        <f>(((140-Questionnaire!B310)*Questionnaire!Y310)/(72*Results!I309))*0.85</f>
        <v>98.163567543730707</v>
      </c>
      <c r="M309" s="12">
        <f t="shared" si="9"/>
        <v>0.3248566808760841</v>
      </c>
      <c r="N309">
        <v>142</v>
      </c>
      <c r="O309">
        <v>3.7</v>
      </c>
      <c r="P309">
        <v>107</v>
      </c>
    </row>
    <row r="310" spans="1:16" x14ac:dyDescent="0.25">
      <c r="A310">
        <f>Questionnaire!A311</f>
        <v>309</v>
      </c>
      <c r="B310" s="30" t="s">
        <v>32</v>
      </c>
      <c r="C310" s="6">
        <v>6.8</v>
      </c>
      <c r="D310" s="6">
        <v>139</v>
      </c>
      <c r="E310" s="10">
        <v>9</v>
      </c>
      <c r="F310" s="10">
        <v>1.6</v>
      </c>
      <c r="G310" s="10">
        <v>2</v>
      </c>
      <c r="H310" s="10">
        <v>5.9</v>
      </c>
      <c r="I310" s="12">
        <f>60.18/88.4</f>
        <v>0.68076923076923068</v>
      </c>
      <c r="J310" s="12">
        <f t="shared" si="8"/>
        <v>10.892307692307691</v>
      </c>
      <c r="K310" s="10">
        <v>5</v>
      </c>
      <c r="L310" s="12">
        <f>(((140-Questionnaire!B311)*Questionnaire!Y311)/(72*Results!I310))*0.85</f>
        <v>76.302573760200886</v>
      </c>
      <c r="M310" s="12">
        <f t="shared" si="9"/>
        <v>12.761299435028251</v>
      </c>
      <c r="N310">
        <v>146</v>
      </c>
      <c r="O310">
        <v>4.7</v>
      </c>
      <c r="P310">
        <v>115</v>
      </c>
    </row>
    <row r="311" spans="1:16" x14ac:dyDescent="0.25">
      <c r="A311">
        <f>Questionnaire!A312</f>
        <v>310</v>
      </c>
      <c r="B311" s="30" t="s">
        <v>32</v>
      </c>
      <c r="C311" s="6">
        <v>5</v>
      </c>
      <c r="D311" s="6">
        <v>28</v>
      </c>
      <c r="E311" s="10">
        <v>4</v>
      </c>
      <c r="F311" s="10">
        <v>0.9</v>
      </c>
      <c r="G311" s="10">
        <v>1</v>
      </c>
      <c r="H311" s="10">
        <v>2.4</v>
      </c>
      <c r="I311" s="12">
        <f>53.2/88.4</f>
        <v>0.60180995475113119</v>
      </c>
      <c r="J311" s="12">
        <f t="shared" si="8"/>
        <v>9.6289592760180991</v>
      </c>
      <c r="K311" s="10">
        <v>5.8</v>
      </c>
      <c r="L311" s="12">
        <f>(((140-Questionnaire!B312)*Questionnaire!Y312)/(72*Results!I311))*0.85</f>
        <v>81.566447368421052</v>
      </c>
      <c r="M311" s="12">
        <f t="shared" si="9"/>
        <v>2.9078947368421053</v>
      </c>
      <c r="N311">
        <v>138</v>
      </c>
      <c r="O311">
        <v>3.7</v>
      </c>
      <c r="P311">
        <v>107</v>
      </c>
    </row>
    <row r="312" spans="1:16" x14ac:dyDescent="0.25">
      <c r="A312">
        <f>Questionnaire!A313</f>
        <v>311</v>
      </c>
      <c r="B312" s="30" t="s">
        <v>11</v>
      </c>
      <c r="C312" s="6">
        <v>5.2</v>
      </c>
      <c r="D312" s="6">
        <v>41</v>
      </c>
      <c r="E312" s="10">
        <v>5</v>
      </c>
      <c r="F312" s="10">
        <v>1.2</v>
      </c>
      <c r="G312" s="10">
        <v>1.6</v>
      </c>
      <c r="H312" s="10">
        <v>2.7</v>
      </c>
      <c r="I312" s="12">
        <f>71.52/88.4</f>
        <v>0.80904977375565601</v>
      </c>
      <c r="J312" s="12">
        <f t="shared" si="8"/>
        <v>12.944796380090496</v>
      </c>
      <c r="K312" s="10">
        <v>4.3</v>
      </c>
      <c r="L312" s="12">
        <f>((140-Questionnaire!B313)*Questionnaire!Y313)/(72*Results!I312)</f>
        <v>81.233842903305998</v>
      </c>
      <c r="M312" s="12">
        <f t="shared" si="9"/>
        <v>3.1672958612975397</v>
      </c>
      <c r="N312">
        <v>142</v>
      </c>
      <c r="O312">
        <v>5.2</v>
      </c>
      <c r="P312">
        <v>106</v>
      </c>
    </row>
    <row r="313" spans="1:16" x14ac:dyDescent="0.25">
      <c r="A313">
        <f>Questionnaire!A314</f>
        <v>312</v>
      </c>
      <c r="B313" s="30" t="s">
        <v>11</v>
      </c>
      <c r="C313" s="6">
        <v>6.5</v>
      </c>
      <c r="D313" s="54">
        <v>4</v>
      </c>
      <c r="E313" s="10">
        <v>4</v>
      </c>
      <c r="F313" s="10">
        <v>1.1000000000000001</v>
      </c>
      <c r="G313" s="10">
        <v>1</v>
      </c>
      <c r="H313" s="10">
        <v>1.9</v>
      </c>
      <c r="I313" s="12">
        <v>0.8</v>
      </c>
      <c r="J313" s="12">
        <f t="shared" si="8"/>
        <v>12.8</v>
      </c>
      <c r="K313" s="10">
        <v>3.5</v>
      </c>
      <c r="L313" s="12">
        <f>((140-Questionnaire!B314)*Questionnaire!Y314)/(72*Results!I313)</f>
        <v>99.548611111111114</v>
      </c>
      <c r="M313" s="12">
        <f t="shared" si="9"/>
        <v>0.3125</v>
      </c>
      <c r="N313">
        <v>142</v>
      </c>
      <c r="O313">
        <v>3.9</v>
      </c>
      <c r="P313">
        <v>107</v>
      </c>
    </row>
    <row r="314" spans="1:16" x14ac:dyDescent="0.25">
      <c r="A314">
        <f>Questionnaire!A315</f>
        <v>313</v>
      </c>
      <c r="B314" s="30" t="s">
        <v>32</v>
      </c>
      <c r="C314" s="6">
        <v>4.4000000000000004</v>
      </c>
      <c r="D314" s="6">
        <v>5</v>
      </c>
      <c r="E314" s="10">
        <v>5</v>
      </c>
      <c r="F314" s="10">
        <v>1.6</v>
      </c>
      <c r="G314" s="10">
        <v>1.2</v>
      </c>
      <c r="H314" s="10">
        <v>2.9</v>
      </c>
      <c r="I314" s="12">
        <v>0.6</v>
      </c>
      <c r="J314" s="12">
        <f t="shared" si="8"/>
        <v>9.6</v>
      </c>
      <c r="K314" s="10">
        <v>3.8</v>
      </c>
      <c r="L314" s="12">
        <f>(((140-Questionnaire!B315)*Questionnaire!Y315)/(72*Results!I314))*0.85</f>
        <v>93.854166666666671</v>
      </c>
      <c r="M314" s="12">
        <f t="shared" si="9"/>
        <v>0.52083333333333337</v>
      </c>
      <c r="N314">
        <v>144</v>
      </c>
      <c r="O314">
        <v>3.6</v>
      </c>
      <c r="P314">
        <v>110</v>
      </c>
    </row>
    <row r="315" spans="1:16" x14ac:dyDescent="0.25">
      <c r="A315">
        <f>Questionnaire!A316</f>
        <v>314</v>
      </c>
      <c r="B315" s="30" t="s">
        <v>32</v>
      </c>
      <c r="C315" s="6">
        <v>7.9</v>
      </c>
      <c r="D315" s="54">
        <v>4</v>
      </c>
      <c r="E315" s="10">
        <v>4</v>
      </c>
      <c r="F315" s="10">
        <v>1.2</v>
      </c>
      <c r="G315" s="10">
        <v>2</v>
      </c>
      <c r="H315" s="10">
        <v>2.4</v>
      </c>
      <c r="I315" s="12">
        <f>42.74/88.4</f>
        <v>0.4834841628959276</v>
      </c>
      <c r="J315" s="12">
        <f t="shared" si="8"/>
        <v>7.7357466063348417</v>
      </c>
      <c r="K315" s="10">
        <v>4.2</v>
      </c>
      <c r="L315" s="12">
        <f>(((140-Questionnaire!B316)*Questionnaire!Y316)/(72*Results!I315))*0.85</f>
        <v>99.624083606301667</v>
      </c>
      <c r="M315" s="12">
        <f t="shared" si="9"/>
        <v>0.51708001871782872</v>
      </c>
      <c r="N315">
        <v>141</v>
      </c>
      <c r="O315">
        <v>4.2</v>
      </c>
      <c r="P315">
        <v>101</v>
      </c>
    </row>
    <row r="316" spans="1:16" x14ac:dyDescent="0.25">
      <c r="A316">
        <f>Questionnaire!A317</f>
        <v>315</v>
      </c>
      <c r="B316" s="30" t="s">
        <v>32</v>
      </c>
      <c r="C316" s="6">
        <v>6.9</v>
      </c>
      <c r="D316" s="6">
        <v>5</v>
      </c>
      <c r="E316" s="10">
        <v>6</v>
      </c>
      <c r="F316" s="10">
        <v>1.7</v>
      </c>
      <c r="G316" s="10">
        <v>2</v>
      </c>
      <c r="H316" s="10">
        <v>3.4</v>
      </c>
      <c r="I316" s="12">
        <v>0.9</v>
      </c>
      <c r="J316" s="12">
        <f t="shared" si="8"/>
        <v>14.4</v>
      </c>
      <c r="K316" s="10">
        <v>2.2000000000000002</v>
      </c>
      <c r="L316" s="12">
        <f>(((140-Questionnaire!B317)*Questionnaire!Y317)/(72*Results!I316))*0.85</f>
        <v>95.493827160493822</v>
      </c>
      <c r="M316" s="12">
        <f t="shared" si="9"/>
        <v>0.34722222222222221</v>
      </c>
      <c r="N316">
        <v>142</v>
      </c>
      <c r="O316">
        <v>3.6</v>
      </c>
      <c r="P316">
        <v>110</v>
      </c>
    </row>
    <row r="317" spans="1:16" x14ac:dyDescent="0.25">
      <c r="A317">
        <f>Questionnaire!A318</f>
        <v>316</v>
      </c>
      <c r="B317" s="30" t="s">
        <v>11</v>
      </c>
      <c r="C317" s="6">
        <v>8.8000000000000007</v>
      </c>
      <c r="D317" s="54">
        <v>4</v>
      </c>
      <c r="E317" s="10">
        <v>5</v>
      </c>
      <c r="F317" s="10">
        <v>1.2</v>
      </c>
      <c r="G317" s="10">
        <v>1</v>
      </c>
      <c r="H317" s="10">
        <v>3.6</v>
      </c>
      <c r="I317" s="12">
        <v>0.75</v>
      </c>
      <c r="J317" s="12">
        <f t="shared" si="8"/>
        <v>12</v>
      </c>
      <c r="K317" s="10">
        <v>3.9</v>
      </c>
      <c r="L317" s="12">
        <f>((140-Questionnaire!B318)*Questionnaire!Y318)/(72*Results!I317)</f>
        <v>96.962962962962962</v>
      </c>
      <c r="M317" s="12">
        <f t="shared" si="9"/>
        <v>0.33333333333333331</v>
      </c>
      <c r="N317">
        <v>141</v>
      </c>
      <c r="O317">
        <v>4</v>
      </c>
      <c r="P317">
        <v>108</v>
      </c>
    </row>
    <row r="318" spans="1:16" x14ac:dyDescent="0.25">
      <c r="A318">
        <f>Questionnaire!A319</f>
        <v>317</v>
      </c>
      <c r="B318" s="30" t="s">
        <v>32</v>
      </c>
      <c r="C318" s="6">
        <v>8.1999999999999993</v>
      </c>
      <c r="D318" s="6">
        <v>7</v>
      </c>
      <c r="E318" s="10">
        <v>4</v>
      </c>
      <c r="F318" s="10">
        <v>1.5</v>
      </c>
      <c r="G318" s="10">
        <v>1</v>
      </c>
      <c r="H318" s="10">
        <v>2.2000000000000002</v>
      </c>
      <c r="I318" s="12">
        <v>0.55000000000000004</v>
      </c>
      <c r="J318" s="12">
        <f t="shared" si="8"/>
        <v>8.8000000000000007</v>
      </c>
      <c r="K318" s="10">
        <v>3.8</v>
      </c>
      <c r="L318" s="12">
        <f>(((140-Questionnaire!B319)*Questionnaire!Y319)/(72*Results!I318))*0.85</f>
        <v>94.616161616161605</v>
      </c>
      <c r="M318" s="12">
        <f t="shared" si="9"/>
        <v>0.79545454545454541</v>
      </c>
      <c r="N318">
        <v>144</v>
      </c>
      <c r="O318">
        <v>4</v>
      </c>
      <c r="P318">
        <v>108</v>
      </c>
    </row>
    <row r="319" spans="1:16" x14ac:dyDescent="0.25">
      <c r="A319">
        <f>Questionnaire!A320</f>
        <v>318</v>
      </c>
      <c r="B319" s="30" t="s">
        <v>32</v>
      </c>
      <c r="C319" s="6">
        <v>7.6</v>
      </c>
      <c r="D319" s="54">
        <v>4</v>
      </c>
      <c r="E319" s="10">
        <v>6</v>
      </c>
      <c r="F319" s="10">
        <v>1.5</v>
      </c>
      <c r="G319" s="10">
        <v>1</v>
      </c>
      <c r="H319" s="10">
        <v>4.2</v>
      </c>
      <c r="I319" s="12">
        <f>75/88.4</f>
        <v>0.84841628959276016</v>
      </c>
      <c r="J319" s="12">
        <f t="shared" si="8"/>
        <v>13.574660633484163</v>
      </c>
      <c r="K319" s="10">
        <v>3.2</v>
      </c>
      <c r="L319" s="12">
        <f>(((140-Questionnaire!B320)*Questionnaire!Y320)/(72*Results!I319))*0.85</f>
        <v>67.486851851851853</v>
      </c>
      <c r="M319" s="12">
        <f t="shared" si="9"/>
        <v>0.29466666666666669</v>
      </c>
      <c r="N319">
        <v>138</v>
      </c>
      <c r="O319">
        <v>4</v>
      </c>
      <c r="P319">
        <v>108</v>
      </c>
    </row>
    <row r="320" spans="1:16" x14ac:dyDescent="0.25">
      <c r="A320">
        <f>Questionnaire!A321</f>
        <v>319</v>
      </c>
      <c r="B320" s="30" t="s">
        <v>32</v>
      </c>
      <c r="C320" s="6">
        <v>14.1</v>
      </c>
      <c r="D320" s="6">
        <v>19</v>
      </c>
      <c r="E320" s="10">
        <v>5</v>
      </c>
      <c r="F320" s="10">
        <v>1.2</v>
      </c>
      <c r="G320" s="10">
        <v>1</v>
      </c>
      <c r="H320" s="10">
        <v>1.6</v>
      </c>
      <c r="I320" s="12">
        <f>77.63/88.4</f>
        <v>0.87816742081447952</v>
      </c>
      <c r="J320" s="12">
        <f t="shared" si="8"/>
        <v>14.050678733031672</v>
      </c>
      <c r="K320" s="10">
        <v>3.9</v>
      </c>
      <c r="L320" s="12">
        <f>(((140-Questionnaire!B321)*Questionnaire!Y321)/(72*Results!I320))*0.85</f>
        <v>64.366997294860241</v>
      </c>
      <c r="M320" s="12">
        <f t="shared" si="9"/>
        <v>1.3522478423289968</v>
      </c>
      <c r="N320">
        <v>139</v>
      </c>
      <c r="O320">
        <v>3.5</v>
      </c>
      <c r="P320">
        <v>104</v>
      </c>
    </row>
    <row r="321" spans="1:16" x14ac:dyDescent="0.25">
      <c r="A321">
        <f>Questionnaire!A322</f>
        <v>320</v>
      </c>
      <c r="B321" s="30" t="s">
        <v>32</v>
      </c>
      <c r="C321" s="6">
        <v>9.1999999999999993</v>
      </c>
      <c r="D321" s="6">
        <v>6</v>
      </c>
      <c r="E321" s="10">
        <v>5.7</v>
      </c>
      <c r="F321" s="10">
        <v>1.1000000000000001</v>
      </c>
      <c r="G321" s="10">
        <v>1.3</v>
      </c>
      <c r="H321" s="10">
        <v>3.6</v>
      </c>
      <c r="I321" s="12">
        <f>102/88.4</f>
        <v>1.1538461538461537</v>
      </c>
      <c r="J321" s="12">
        <f>I321*16</f>
        <v>18.46153846153846</v>
      </c>
      <c r="K321" s="10">
        <v>4.2</v>
      </c>
      <c r="L321" s="12">
        <f>(((140-Questionnaire!B322)*Questionnaire!Y322)/(72*Results!I321))*0.85</f>
        <v>50.124027777777783</v>
      </c>
      <c r="M321" s="12">
        <f t="shared" si="9"/>
        <v>0.32500000000000001</v>
      </c>
      <c r="N321">
        <v>140</v>
      </c>
      <c r="O321">
        <v>4</v>
      </c>
      <c r="P321">
        <v>98</v>
      </c>
    </row>
    <row r="322" spans="1:16" x14ac:dyDescent="0.25">
      <c r="A322">
        <f>Questionnaire!A323</f>
        <v>321</v>
      </c>
      <c r="B322" s="30" t="s">
        <v>32</v>
      </c>
      <c r="C322" s="6">
        <v>4</v>
      </c>
      <c r="D322" s="6">
        <v>9</v>
      </c>
      <c r="E322" s="47">
        <v>4</v>
      </c>
      <c r="F322" s="47">
        <v>1</v>
      </c>
      <c r="G322" s="47">
        <v>1</v>
      </c>
      <c r="H322" s="47">
        <v>1.2</v>
      </c>
      <c r="I322" s="12">
        <f>96.82/88.4</f>
        <v>1.0952488687782804</v>
      </c>
      <c r="J322" s="12">
        <f>I322*16</f>
        <v>17.523981900452487</v>
      </c>
      <c r="K322" s="10">
        <v>5.4</v>
      </c>
      <c r="L322" s="12">
        <f>(((140-Questionnaire!B323)*Questionnaire!Y323)/(72*Results!I322))*0.85</f>
        <v>69.243521770065882</v>
      </c>
      <c r="M322" s="12">
        <f t="shared" si="9"/>
        <v>0.5135819045651725</v>
      </c>
      <c r="N322">
        <v>146</v>
      </c>
      <c r="O322">
        <v>2.8</v>
      </c>
      <c r="P322">
        <v>108</v>
      </c>
    </row>
    <row r="323" spans="1:16" x14ac:dyDescent="0.25">
      <c r="A323">
        <f>Questionnaire!A324</f>
        <v>322</v>
      </c>
      <c r="B323" s="30" t="s">
        <v>32</v>
      </c>
      <c r="C323" s="6">
        <v>9.6</v>
      </c>
      <c r="D323" s="6">
        <v>10</v>
      </c>
      <c r="E323" s="47">
        <v>5</v>
      </c>
      <c r="F323" s="47">
        <v>1</v>
      </c>
      <c r="G323" s="47">
        <v>1</v>
      </c>
      <c r="H323" s="47">
        <v>1.3</v>
      </c>
      <c r="I323" s="12">
        <f>67.16/88.4</f>
        <v>0.75972850678733028</v>
      </c>
      <c r="J323" s="12">
        <f>I323*16</f>
        <v>12.155656108597285</v>
      </c>
      <c r="K323" s="10">
        <v>2.9</v>
      </c>
      <c r="L323" s="12">
        <f>(((140-Questionnaire!B324)*Questionnaire!Y324)/(72*Results!I323))*0.85</f>
        <v>69.289189166832116</v>
      </c>
      <c r="M323" s="12">
        <f t="shared" ref="M323:M386" si="10">D323/J323</f>
        <v>0.82266229898749255</v>
      </c>
      <c r="N323">
        <v>144</v>
      </c>
      <c r="O323">
        <v>3.9</v>
      </c>
      <c r="P323">
        <v>110</v>
      </c>
    </row>
    <row r="324" spans="1:16" x14ac:dyDescent="0.25">
      <c r="A324">
        <f>Questionnaire!A325</f>
        <v>323</v>
      </c>
      <c r="B324" s="30" t="s">
        <v>32</v>
      </c>
      <c r="C324" s="6">
        <v>9.3000000000000007</v>
      </c>
      <c r="D324" s="54">
        <v>160</v>
      </c>
      <c r="E324" s="10">
        <v>6</v>
      </c>
      <c r="F324" s="10">
        <v>1</v>
      </c>
      <c r="G324" s="10">
        <v>3</v>
      </c>
      <c r="H324" s="10">
        <v>1.8</v>
      </c>
      <c r="I324" s="12">
        <f>145.66/88.4</f>
        <v>1.6477375565610859</v>
      </c>
      <c r="J324" s="12">
        <f t="shared" ref="J324:J386" si="11">I324*16</f>
        <v>26.363800904977374</v>
      </c>
      <c r="K324" s="10">
        <v>7.1</v>
      </c>
      <c r="L324" s="12">
        <f>(((140-Questionnaire!B325)*Questionnaire!Y325)/(72*Results!I324))*0.85</f>
        <v>33.100942834912352</v>
      </c>
      <c r="M324" s="12">
        <f t="shared" si="10"/>
        <v>6.0689276397089111</v>
      </c>
      <c r="N324">
        <v>136</v>
      </c>
      <c r="O324">
        <v>4.4000000000000004</v>
      </c>
      <c r="P324">
        <v>105</v>
      </c>
    </row>
    <row r="325" spans="1:16" x14ac:dyDescent="0.25">
      <c r="A325">
        <f>Questionnaire!A326</f>
        <v>324</v>
      </c>
      <c r="B325" s="30" t="s">
        <v>11</v>
      </c>
      <c r="C325" s="6">
        <v>10.4</v>
      </c>
      <c r="D325" s="54">
        <v>4</v>
      </c>
      <c r="E325" s="10">
        <v>4</v>
      </c>
      <c r="F325" s="10">
        <v>0.9</v>
      </c>
      <c r="G325" s="10">
        <v>1</v>
      </c>
      <c r="H325" s="10">
        <v>1.2</v>
      </c>
      <c r="I325" s="12">
        <f>124.73/88.4</f>
        <v>1.4109728506787329</v>
      </c>
      <c r="J325" s="12">
        <f t="shared" si="11"/>
        <v>22.575565610859726</v>
      </c>
      <c r="K325" s="10">
        <v>5.0999999999999996</v>
      </c>
      <c r="L325" s="12">
        <f>((140-Questionnaire!B326)*Questionnaire!Y326)/(72*Results!I325)</f>
        <v>55.812555119057173</v>
      </c>
      <c r="M325" s="12">
        <f t="shared" si="10"/>
        <v>0.17718271466367355</v>
      </c>
      <c r="N325">
        <v>144</v>
      </c>
      <c r="O325">
        <v>3.8</v>
      </c>
      <c r="P325">
        <v>110</v>
      </c>
    </row>
    <row r="326" spans="1:16" x14ac:dyDescent="0.25">
      <c r="A326">
        <f>Questionnaire!A327</f>
        <v>325</v>
      </c>
      <c r="B326" s="30" t="s">
        <v>32</v>
      </c>
      <c r="C326" s="6">
        <v>4.9000000000000004</v>
      </c>
      <c r="D326" s="6">
        <v>9</v>
      </c>
      <c r="E326" s="10">
        <v>5</v>
      </c>
      <c r="F326" s="10">
        <v>1.2</v>
      </c>
      <c r="G326" s="10">
        <v>1</v>
      </c>
      <c r="H326" s="10">
        <v>1.4</v>
      </c>
      <c r="I326" s="12">
        <f>88.09/88.4</f>
        <v>0.99649321266968327</v>
      </c>
      <c r="J326" s="12">
        <f t="shared" si="11"/>
        <v>15.943891402714932</v>
      </c>
      <c r="K326" s="10">
        <v>4</v>
      </c>
      <c r="L326" s="12">
        <f>(((140-Questionnaire!B327)*Questionnaire!Y327)/(72*Results!I326))*0.85</f>
        <v>44.071215045218899</v>
      </c>
      <c r="M326" s="12">
        <f t="shared" si="10"/>
        <v>0.56447950959246229</v>
      </c>
      <c r="N326">
        <v>143</v>
      </c>
      <c r="O326">
        <v>3.2</v>
      </c>
      <c r="P326">
        <v>103</v>
      </c>
    </row>
    <row r="327" spans="1:16" x14ac:dyDescent="0.25">
      <c r="A327">
        <f>Questionnaire!A328</f>
        <v>326</v>
      </c>
      <c r="B327" s="30" t="s">
        <v>32</v>
      </c>
      <c r="C327" s="6">
        <v>7.1</v>
      </c>
      <c r="D327" s="6">
        <v>5</v>
      </c>
      <c r="E327" s="10">
        <v>5</v>
      </c>
      <c r="F327" s="10">
        <v>1</v>
      </c>
      <c r="G327" s="10">
        <v>1</v>
      </c>
      <c r="H327" s="10">
        <v>1.6</v>
      </c>
      <c r="I327" s="12">
        <f>81.12/88.4</f>
        <v>0.91764705882352937</v>
      </c>
      <c r="J327" s="12">
        <f t="shared" si="11"/>
        <v>14.68235294117647</v>
      </c>
      <c r="K327" s="10">
        <v>5</v>
      </c>
      <c r="L327" s="12">
        <f>(((140-Questionnaire!B328)*Questionnaire!Y328)/(72*Results!I327))*0.85</f>
        <v>58.870370370370374</v>
      </c>
      <c r="M327" s="12">
        <f t="shared" si="10"/>
        <v>0.34054487179487181</v>
      </c>
      <c r="N327">
        <v>141</v>
      </c>
      <c r="O327">
        <v>3.6</v>
      </c>
      <c r="P327">
        <v>105</v>
      </c>
    </row>
    <row r="328" spans="1:16" x14ac:dyDescent="0.25">
      <c r="A328">
        <f>Questionnaire!A329</f>
        <v>327</v>
      </c>
      <c r="B328" s="30" t="s">
        <v>32</v>
      </c>
      <c r="C328" s="6">
        <v>9.1999999999999993</v>
      </c>
      <c r="D328" s="54">
        <v>4</v>
      </c>
      <c r="E328" s="10">
        <v>5</v>
      </c>
      <c r="F328" s="10">
        <v>1.1000000000000001</v>
      </c>
      <c r="G328" s="10">
        <v>2</v>
      </c>
      <c r="H328" s="10">
        <v>2</v>
      </c>
      <c r="I328" s="12">
        <f>57.57/88.4</f>
        <v>0.65124434389140262</v>
      </c>
      <c r="J328" s="12">
        <f t="shared" si="11"/>
        <v>10.419909502262442</v>
      </c>
      <c r="K328" s="10">
        <v>2.2999999999999998</v>
      </c>
      <c r="L328" s="12">
        <f>(((140-Questionnaire!B329)*Questionnaire!Y329)/(72*Results!I328))*0.85</f>
        <v>62.177976569586789</v>
      </c>
      <c r="M328" s="12">
        <f>D328/J328</f>
        <v>0.38388049331248919</v>
      </c>
      <c r="N328">
        <v>130</v>
      </c>
      <c r="O328">
        <v>4.4000000000000004</v>
      </c>
      <c r="P328">
        <v>99</v>
      </c>
    </row>
    <row r="329" spans="1:16" x14ac:dyDescent="0.25">
      <c r="A329">
        <f>Questionnaire!A330</f>
        <v>328</v>
      </c>
      <c r="B329" s="30" t="s">
        <v>32</v>
      </c>
      <c r="C329" s="6">
        <v>4.2</v>
      </c>
      <c r="D329" s="6">
        <v>6</v>
      </c>
      <c r="E329" s="10">
        <v>7</v>
      </c>
      <c r="F329" s="10">
        <v>1.4</v>
      </c>
      <c r="G329" s="10">
        <v>2.2000000000000002</v>
      </c>
      <c r="H329" s="10">
        <v>2</v>
      </c>
      <c r="I329" s="12">
        <f>63.67/88.4</f>
        <v>0.72024886877828054</v>
      </c>
      <c r="J329" s="12">
        <f t="shared" si="11"/>
        <v>11.523981900452489</v>
      </c>
      <c r="K329" s="10">
        <v>3.1</v>
      </c>
      <c r="L329" s="12">
        <f>(((140-Questionnaire!B330)*Questionnaire!Y330)/(72*Results!I329))*0.85</f>
        <v>86.052431809852891</v>
      </c>
      <c r="M329" s="12">
        <f t="shared" si="10"/>
        <v>0.52065336893356373</v>
      </c>
      <c r="N329">
        <v>134</v>
      </c>
      <c r="O329">
        <v>4.2</v>
      </c>
      <c r="P329">
        <v>101</v>
      </c>
    </row>
    <row r="330" spans="1:16" x14ac:dyDescent="0.25">
      <c r="A330">
        <f>Questionnaire!A331</f>
        <v>329</v>
      </c>
      <c r="B330" s="43" t="s">
        <v>32</v>
      </c>
      <c r="C330" s="6">
        <v>7</v>
      </c>
      <c r="D330" s="6">
        <v>67</v>
      </c>
      <c r="E330" s="10">
        <v>6</v>
      </c>
      <c r="F330" s="10">
        <v>0.9</v>
      </c>
      <c r="G330" s="10">
        <v>3</v>
      </c>
      <c r="H330" s="10">
        <v>2.2000000000000002</v>
      </c>
      <c r="I330" s="12">
        <f>87.22/88.4</f>
        <v>0.98665158371040718</v>
      </c>
      <c r="J330" s="12">
        <f t="shared" si="11"/>
        <v>15.786425339366515</v>
      </c>
      <c r="K330" s="10">
        <v>7</v>
      </c>
      <c r="L330" s="12">
        <f>(((140-Questionnaire!B331)*Questionnaire!Y331)/(72*Results!I330))*0.85</f>
        <v>71.863429641519531</v>
      </c>
      <c r="M330" s="12">
        <f t="shared" si="10"/>
        <v>4.2441527172666822</v>
      </c>
      <c r="N330">
        <v>142</v>
      </c>
      <c r="O330">
        <v>4.5</v>
      </c>
      <c r="P330">
        <v>103</v>
      </c>
    </row>
    <row r="331" spans="1:16" x14ac:dyDescent="0.25">
      <c r="A331">
        <f>Questionnaire!A332</f>
        <v>330</v>
      </c>
      <c r="B331" s="43" t="s">
        <v>11</v>
      </c>
      <c r="C331" s="47">
        <v>4.4000000000000004</v>
      </c>
      <c r="D331" s="6">
        <v>16</v>
      </c>
      <c r="E331" s="47">
        <v>5</v>
      </c>
      <c r="F331" s="47">
        <v>1</v>
      </c>
      <c r="G331" s="47">
        <v>5</v>
      </c>
      <c r="H331" s="47">
        <v>1.5</v>
      </c>
      <c r="I331" s="12">
        <f>81.99/88.4</f>
        <v>0.92748868778280535</v>
      </c>
      <c r="J331" s="12">
        <f t="shared" si="11"/>
        <v>14.839819004524886</v>
      </c>
      <c r="K331" s="10">
        <v>7</v>
      </c>
      <c r="L331" s="12">
        <f>((140-Questionnaire!B332)*Questionnaire!Y332)/(72*Results!I331)</f>
        <v>99.162635009689524</v>
      </c>
      <c r="M331" s="12">
        <f>D331/J331</f>
        <v>1.0781802658860837</v>
      </c>
      <c r="N331">
        <v>137</v>
      </c>
      <c r="O331">
        <v>4.7</v>
      </c>
      <c r="P331">
        <v>101</v>
      </c>
    </row>
    <row r="332" spans="1:16" x14ac:dyDescent="0.25">
      <c r="A332">
        <f>Questionnaire!A333</f>
        <v>331</v>
      </c>
      <c r="B332" s="43" t="s">
        <v>32</v>
      </c>
      <c r="C332" s="47">
        <v>4.8</v>
      </c>
      <c r="D332" s="6">
        <v>56</v>
      </c>
      <c r="E332" s="10">
        <v>4</v>
      </c>
      <c r="F332" s="10">
        <v>1.2</v>
      </c>
      <c r="G332" s="10">
        <v>1</v>
      </c>
      <c r="H332" s="10">
        <v>2.2000000000000002</v>
      </c>
      <c r="I332" s="12">
        <v>0.85</v>
      </c>
      <c r="J332" s="12">
        <f t="shared" si="11"/>
        <v>13.6</v>
      </c>
      <c r="K332" s="10">
        <v>2.4</v>
      </c>
      <c r="L332" s="12">
        <f>(((140-Questionnaire!B333)*Questionnaire!Y333)/(72*Results!I332))*0.85</f>
        <v>96.805555555555557</v>
      </c>
      <c r="M332" s="12">
        <f t="shared" si="10"/>
        <v>4.1176470588235299</v>
      </c>
      <c r="N332">
        <v>141</v>
      </c>
      <c r="O332">
        <v>3.5</v>
      </c>
      <c r="P332">
        <v>103</v>
      </c>
    </row>
    <row r="333" spans="1:16" x14ac:dyDescent="0.25">
      <c r="A333">
        <f>Questionnaire!A334</f>
        <v>332</v>
      </c>
      <c r="B333" s="43" t="s">
        <v>32</v>
      </c>
      <c r="C333" s="6">
        <v>9</v>
      </c>
      <c r="D333" s="6">
        <v>9</v>
      </c>
      <c r="E333" s="10">
        <v>5</v>
      </c>
      <c r="F333" s="10">
        <v>1.3</v>
      </c>
      <c r="G333" s="10">
        <v>1</v>
      </c>
      <c r="H333" s="10">
        <v>3.2</v>
      </c>
      <c r="I333" s="12">
        <v>0.7</v>
      </c>
      <c r="J333" s="12">
        <f t="shared" si="11"/>
        <v>11.2</v>
      </c>
      <c r="K333" s="10">
        <v>4.5999999999999996</v>
      </c>
      <c r="L333" s="12">
        <f>(((140-Questionnaire!B334)*Questionnaire!Y334)/(72*Results!I333))*0.85</f>
        <v>93.095238095238102</v>
      </c>
      <c r="M333" s="12">
        <f t="shared" si="10"/>
        <v>0.8035714285714286</v>
      </c>
      <c r="N333">
        <v>143</v>
      </c>
      <c r="O333">
        <v>5.0999999999999996</v>
      </c>
      <c r="P333">
        <v>109</v>
      </c>
    </row>
    <row r="334" spans="1:16" x14ac:dyDescent="0.25">
      <c r="A334">
        <f>Questionnaire!A335</f>
        <v>333</v>
      </c>
      <c r="B334" s="43" t="s">
        <v>32</v>
      </c>
      <c r="C334" s="47">
        <v>5.5</v>
      </c>
      <c r="D334" s="6">
        <v>55</v>
      </c>
      <c r="E334" s="10">
        <v>6</v>
      </c>
      <c r="F334" s="10">
        <v>1.3</v>
      </c>
      <c r="G334" s="10">
        <v>1</v>
      </c>
      <c r="H334" s="10">
        <v>3.7</v>
      </c>
      <c r="I334" s="12">
        <f>69.78/88.4</f>
        <v>0.78936651583710404</v>
      </c>
      <c r="J334" s="12">
        <f t="shared" si="11"/>
        <v>12.629864253393665</v>
      </c>
      <c r="K334" s="10">
        <v>6.6</v>
      </c>
      <c r="L334" s="12">
        <f>(((140-Questionnaire!B335)*Questionnaire!Y335)/(72*Results!I334))*0.85</f>
        <v>55.485772746090895</v>
      </c>
      <c r="M334" s="12">
        <f t="shared" si="10"/>
        <v>4.3547578102608195</v>
      </c>
      <c r="N334">
        <v>144</v>
      </c>
      <c r="O334">
        <v>4.5999999999999996</v>
      </c>
      <c r="P334">
        <v>109</v>
      </c>
    </row>
    <row r="335" spans="1:16" x14ac:dyDescent="0.25">
      <c r="A335">
        <f>Questionnaire!A336</f>
        <v>334</v>
      </c>
      <c r="B335" s="43" t="s">
        <v>32</v>
      </c>
      <c r="C335" s="6">
        <v>12.3</v>
      </c>
      <c r="D335" s="54">
        <v>4</v>
      </c>
      <c r="E335" s="10">
        <v>7</v>
      </c>
      <c r="F335" s="10">
        <v>1.2</v>
      </c>
      <c r="G335" s="10">
        <v>3</v>
      </c>
      <c r="H335" s="10">
        <v>4.3</v>
      </c>
      <c r="I335" s="12">
        <f>69.78/88.4</f>
        <v>0.78936651583710404</v>
      </c>
      <c r="J335" s="12">
        <f t="shared" si="11"/>
        <v>12.629864253393665</v>
      </c>
      <c r="K335" s="10">
        <v>6.6</v>
      </c>
      <c r="L335" s="12">
        <f>(((140-Questionnaire!B336)*Questionnaire!Y336)/(72*Results!I335))*0.85</f>
        <v>71.787522690360177</v>
      </c>
      <c r="M335" s="12">
        <f t="shared" si="10"/>
        <v>0.31670965892805963</v>
      </c>
      <c r="N335">
        <v>142</v>
      </c>
      <c r="O335">
        <v>4.4000000000000004</v>
      </c>
      <c r="P335">
        <v>106</v>
      </c>
    </row>
    <row r="336" spans="1:16" x14ac:dyDescent="0.25">
      <c r="A336">
        <f>Questionnaire!A337</f>
        <v>335</v>
      </c>
      <c r="B336" s="43" t="s">
        <v>32</v>
      </c>
      <c r="C336" s="47">
        <v>5</v>
      </c>
      <c r="D336" s="6">
        <v>7</v>
      </c>
      <c r="E336" s="10">
        <v>5</v>
      </c>
      <c r="F336" s="10">
        <v>1.2</v>
      </c>
      <c r="G336" s="10">
        <v>1</v>
      </c>
      <c r="H336" s="10">
        <v>3.3</v>
      </c>
      <c r="I336" s="12">
        <f>61.93/88.4</f>
        <v>0.70056561085972846</v>
      </c>
      <c r="J336" s="12">
        <f t="shared" si="11"/>
        <v>11.209049773755655</v>
      </c>
      <c r="K336" s="10">
        <v>3.5</v>
      </c>
      <c r="L336" s="12">
        <f>(((140-Questionnaire!B337)*Questionnaire!Y337)/(72*Results!I336))*0.85</f>
        <v>42.903825107199893</v>
      </c>
      <c r="M336" s="12">
        <f t="shared" si="10"/>
        <v>0.62449539803003395</v>
      </c>
      <c r="N336">
        <v>143</v>
      </c>
      <c r="O336">
        <v>3.4</v>
      </c>
      <c r="P336">
        <v>105</v>
      </c>
    </row>
    <row r="337" spans="1:16" x14ac:dyDescent="0.25">
      <c r="A337">
        <f>Questionnaire!A338</f>
        <v>336</v>
      </c>
      <c r="B337" s="43" t="s">
        <v>11</v>
      </c>
      <c r="C337" s="6">
        <v>5.7</v>
      </c>
      <c r="D337" s="6">
        <v>7</v>
      </c>
      <c r="E337" s="10">
        <v>5</v>
      </c>
      <c r="F337" s="10">
        <v>1.5</v>
      </c>
      <c r="G337" s="10">
        <v>1</v>
      </c>
      <c r="H337" s="10">
        <v>3</v>
      </c>
      <c r="I337" s="12">
        <f>94.2/88.4</f>
        <v>1.0656108597285068</v>
      </c>
      <c r="J337" s="12">
        <f t="shared" si="11"/>
        <v>17.049773755656108</v>
      </c>
      <c r="K337" s="10">
        <v>7.4</v>
      </c>
      <c r="L337" s="12">
        <f>((140-Questionnaire!B338)*Questionnaire!Y338)/(72*Results!I337)</f>
        <v>48.355154517574903</v>
      </c>
      <c r="M337" s="12">
        <f t="shared" si="10"/>
        <v>0.41056263269639065</v>
      </c>
      <c r="N337">
        <v>135</v>
      </c>
      <c r="O337">
        <v>4.5999999999999996</v>
      </c>
      <c r="P337">
        <v>102</v>
      </c>
    </row>
    <row r="338" spans="1:16" x14ac:dyDescent="0.25">
      <c r="A338">
        <f>Questionnaire!A339</f>
        <v>337</v>
      </c>
      <c r="B338" s="43" t="s">
        <v>32</v>
      </c>
      <c r="C338" s="6">
        <v>4.0999999999999996</v>
      </c>
      <c r="D338" s="6">
        <v>11</v>
      </c>
      <c r="E338" s="10">
        <v>3</v>
      </c>
      <c r="F338" s="10">
        <v>0.9</v>
      </c>
      <c r="G338" s="10">
        <v>1</v>
      </c>
      <c r="H338" s="10">
        <v>1.6</v>
      </c>
      <c r="I338" s="12">
        <f>85.48/88.4</f>
        <v>0.96696832579185521</v>
      </c>
      <c r="J338" s="12">
        <f t="shared" si="11"/>
        <v>15.471493212669683</v>
      </c>
      <c r="K338" s="10">
        <v>6</v>
      </c>
      <c r="L338" s="12">
        <f>(((140-Questionnaire!B339)*Questionnaire!Y339)/(72*Results!I338))*0.85</f>
        <v>63.021999948006041</v>
      </c>
      <c r="M338" s="12">
        <f t="shared" si="10"/>
        <v>0.7109850257370145</v>
      </c>
      <c r="N338">
        <v>139</v>
      </c>
      <c r="O338">
        <v>3.7</v>
      </c>
      <c r="P338">
        <v>100</v>
      </c>
    </row>
    <row r="339" spans="1:16" x14ac:dyDescent="0.25">
      <c r="A339">
        <f>Questionnaire!A340</f>
        <v>338</v>
      </c>
      <c r="B339" s="43" t="s">
        <v>32</v>
      </c>
      <c r="C339" s="47">
        <v>8</v>
      </c>
      <c r="D339" s="6">
        <v>39</v>
      </c>
      <c r="E339" s="10">
        <v>4</v>
      </c>
      <c r="F339" s="10">
        <v>1.2</v>
      </c>
      <c r="G339" s="10">
        <v>1</v>
      </c>
      <c r="H339" s="10">
        <v>1.8</v>
      </c>
      <c r="I339" s="12">
        <f>75.88/88.4</f>
        <v>0.85837104072398185</v>
      </c>
      <c r="J339" s="12">
        <f t="shared" si="11"/>
        <v>13.73393665158371</v>
      </c>
      <c r="K339" s="10">
        <v>5.6</v>
      </c>
      <c r="L339" s="12">
        <f>(((140-Questionnaire!B340)*Questionnaire!Y340)/(72*Results!I339))*0.85</f>
        <v>70.417618461898911</v>
      </c>
      <c r="M339" s="12">
        <f t="shared" si="10"/>
        <v>2.8396810753821824</v>
      </c>
      <c r="N339">
        <v>141</v>
      </c>
      <c r="O339">
        <v>4.4000000000000004</v>
      </c>
      <c r="P339">
        <v>105</v>
      </c>
    </row>
    <row r="340" spans="1:16" x14ac:dyDescent="0.25">
      <c r="A340">
        <f>Questionnaire!A341</f>
        <v>339</v>
      </c>
      <c r="B340" s="43" t="s">
        <v>11</v>
      </c>
      <c r="C340" s="6">
        <v>3.1</v>
      </c>
      <c r="D340" s="54">
        <v>4</v>
      </c>
      <c r="E340" s="10">
        <v>6</v>
      </c>
      <c r="F340" s="10">
        <v>1.2</v>
      </c>
      <c r="G340" s="10">
        <v>2</v>
      </c>
      <c r="H340" s="10">
        <v>3.8</v>
      </c>
      <c r="I340" s="12">
        <f>96.82/88.4</f>
        <v>1.0952488687782804</v>
      </c>
      <c r="J340" s="12">
        <f>I340*16</f>
        <v>17.523981900452487</v>
      </c>
      <c r="K340" s="10">
        <v>4.7</v>
      </c>
      <c r="L340" s="12">
        <f>((140-Questionnaire!B341)*Questionnaire!Y341)/(72*Results!I340)</f>
        <v>60.05738024742363</v>
      </c>
      <c r="M340" s="12">
        <f t="shared" si="10"/>
        <v>0.22825862425118779</v>
      </c>
      <c r="N340">
        <v>137</v>
      </c>
      <c r="O340">
        <v>4.2</v>
      </c>
      <c r="P340">
        <v>104</v>
      </c>
    </row>
    <row r="341" spans="1:16" x14ac:dyDescent="0.25">
      <c r="A341">
        <f>Questionnaire!A342</f>
        <v>340</v>
      </c>
      <c r="B341" s="43" t="s">
        <v>32</v>
      </c>
      <c r="C341" s="6">
        <v>10.6</v>
      </c>
      <c r="D341" s="6">
        <v>6</v>
      </c>
      <c r="E341" s="10">
        <v>4</v>
      </c>
      <c r="F341" s="10">
        <v>1.1000000000000001</v>
      </c>
      <c r="G341" s="10">
        <v>2</v>
      </c>
      <c r="H341" s="10">
        <v>1.9</v>
      </c>
      <c r="I341" s="12">
        <f>52.33/88.4</f>
        <v>0.5919683257918551</v>
      </c>
      <c r="J341" s="12">
        <f t="shared" si="11"/>
        <v>9.4714932126696816</v>
      </c>
      <c r="K341" s="10">
        <v>2.6</v>
      </c>
      <c r="L341" s="12">
        <f>(((140-Questionnaire!B342)*Questionnaire!Y342)/(72*Results!I341))*0.85</f>
        <v>92.136123319956695</v>
      </c>
      <c r="M341" s="12">
        <f t="shared" si="10"/>
        <v>0.6334798394802218</v>
      </c>
      <c r="N341">
        <v>136</v>
      </c>
      <c r="O341">
        <v>4.5</v>
      </c>
      <c r="P341">
        <v>101</v>
      </c>
    </row>
    <row r="342" spans="1:16" x14ac:dyDescent="0.25">
      <c r="A342">
        <f>Questionnaire!A343</f>
        <v>341</v>
      </c>
      <c r="B342" s="43" t="s">
        <v>11</v>
      </c>
      <c r="C342" s="47">
        <v>9</v>
      </c>
      <c r="D342" s="54">
        <v>4</v>
      </c>
      <c r="E342" s="10">
        <v>3</v>
      </c>
      <c r="F342" s="10">
        <v>0.9</v>
      </c>
      <c r="G342" s="10">
        <v>1</v>
      </c>
      <c r="H342" s="10">
        <v>1.6</v>
      </c>
      <c r="I342" s="12">
        <f>76.75/88.4</f>
        <v>0.86821266968325783</v>
      </c>
      <c r="J342" s="12">
        <f t="shared" si="11"/>
        <v>13.891402714932125</v>
      </c>
      <c r="K342" s="10">
        <v>5.6</v>
      </c>
      <c r="L342" s="12">
        <f>((140-Questionnaire!B343)*Questionnaire!Y343)/(72*Results!I342)</f>
        <v>72.786825913861747</v>
      </c>
      <c r="M342" s="12">
        <f t="shared" si="10"/>
        <v>0.2879478827361564</v>
      </c>
      <c r="N342">
        <v>142</v>
      </c>
      <c r="O342">
        <v>4.9000000000000004</v>
      </c>
      <c r="P342">
        <v>108</v>
      </c>
    </row>
    <row r="343" spans="1:16" x14ac:dyDescent="0.25">
      <c r="A343">
        <f>Questionnaire!A344</f>
        <v>342</v>
      </c>
      <c r="B343" s="43" t="s">
        <v>11</v>
      </c>
      <c r="C343" s="47">
        <v>5.6</v>
      </c>
      <c r="D343" s="54">
        <v>4</v>
      </c>
      <c r="E343" s="10">
        <v>4</v>
      </c>
      <c r="F343" s="10">
        <v>0.9</v>
      </c>
      <c r="G343" s="10">
        <v>1</v>
      </c>
      <c r="H343" s="10">
        <v>2.6</v>
      </c>
      <c r="I343" s="12">
        <f>84.6/88.4</f>
        <v>0.9570135746606333</v>
      </c>
      <c r="J343" s="12">
        <f t="shared" si="11"/>
        <v>15.312217194570133</v>
      </c>
      <c r="K343" s="10">
        <v>5.2</v>
      </c>
      <c r="L343" s="12">
        <f>((140-Questionnaire!B344)*Questionnaire!Y344)/(72*Results!I343)</f>
        <v>73.028106120304727</v>
      </c>
      <c r="M343" s="12">
        <f t="shared" si="10"/>
        <v>0.26122931442080383</v>
      </c>
      <c r="N343">
        <v>143</v>
      </c>
      <c r="O343">
        <v>4.3</v>
      </c>
      <c r="P343">
        <v>110</v>
      </c>
    </row>
    <row r="344" spans="1:16" x14ac:dyDescent="0.25">
      <c r="A344">
        <f>Questionnaire!A345</f>
        <v>343</v>
      </c>
      <c r="B344" s="43" t="s">
        <v>32</v>
      </c>
      <c r="C344" s="6">
        <v>10</v>
      </c>
      <c r="D344" s="6">
        <v>9</v>
      </c>
      <c r="E344" s="10">
        <v>8</v>
      </c>
      <c r="F344" s="10">
        <v>1.1000000000000001</v>
      </c>
      <c r="G344" s="10">
        <v>4</v>
      </c>
      <c r="H344" s="10">
        <v>4.9000000000000004</v>
      </c>
      <c r="I344" s="12">
        <f>67.16/88.4</f>
        <v>0.75972850678733028</v>
      </c>
      <c r="J344" s="12">
        <f t="shared" si="11"/>
        <v>12.155656108597285</v>
      </c>
      <c r="K344" s="10">
        <v>5.7</v>
      </c>
      <c r="L344" s="12">
        <f>(((140-Questionnaire!B345)*Questionnaire!Y345)/(72*Results!I344))*0.85</f>
        <v>78.830243696644828</v>
      </c>
      <c r="M344" s="12">
        <f t="shared" si="10"/>
        <v>0.74039606908874334</v>
      </c>
      <c r="N344">
        <v>141</v>
      </c>
      <c r="O344">
        <v>4.2</v>
      </c>
      <c r="P344">
        <v>102</v>
      </c>
    </row>
    <row r="345" spans="1:16" x14ac:dyDescent="0.25">
      <c r="A345">
        <f>Questionnaire!A346</f>
        <v>344</v>
      </c>
      <c r="B345" s="43" t="s">
        <v>32</v>
      </c>
      <c r="C345" s="47">
        <v>8.9</v>
      </c>
      <c r="D345" s="6">
        <v>138</v>
      </c>
      <c r="E345" s="10">
        <v>3</v>
      </c>
      <c r="F345" s="10">
        <v>1</v>
      </c>
      <c r="G345" s="10">
        <v>1</v>
      </c>
      <c r="H345" s="10">
        <v>1.5</v>
      </c>
      <c r="I345" s="12">
        <f>119.49/88.4</f>
        <v>1.3516968325791854</v>
      </c>
      <c r="J345" s="12">
        <f t="shared" si="11"/>
        <v>21.627149321266966</v>
      </c>
      <c r="K345" s="10">
        <v>9.6999999999999993</v>
      </c>
      <c r="L345" s="12">
        <f>(((140-Questionnaire!B346)*Questionnaire!Y346)/(72*Results!I345))*0.85</f>
        <v>40.961888953980349</v>
      </c>
      <c r="M345" s="12">
        <f t="shared" si="10"/>
        <v>6.3808686919407487</v>
      </c>
      <c r="N345">
        <v>128</v>
      </c>
      <c r="O345">
        <v>5</v>
      </c>
      <c r="P345">
        <v>93</v>
      </c>
    </row>
    <row r="346" spans="1:16" x14ac:dyDescent="0.25">
      <c r="A346">
        <f>Questionnaire!A347</f>
        <v>345</v>
      </c>
      <c r="B346" s="43" t="s">
        <v>32</v>
      </c>
      <c r="C346" s="47">
        <v>10</v>
      </c>
      <c r="D346" s="6">
        <v>8</v>
      </c>
      <c r="E346" s="10">
        <v>5</v>
      </c>
      <c r="F346" s="10">
        <v>1</v>
      </c>
      <c r="G346" s="10">
        <v>2</v>
      </c>
      <c r="H346" s="10">
        <v>3</v>
      </c>
      <c r="I346" s="12">
        <f>61.05/88.4</f>
        <v>0.69061085972850667</v>
      </c>
      <c r="J346" s="12">
        <f t="shared" si="11"/>
        <v>11.049773755656107</v>
      </c>
      <c r="K346" s="10">
        <v>2.2000000000000002</v>
      </c>
      <c r="L346" s="12">
        <f>(((140-Questionnaire!B347)*Questionnaire!Y347)/(72*Results!I346))*0.85</f>
        <v>98.805441805441816</v>
      </c>
      <c r="M346" s="12">
        <f t="shared" si="10"/>
        <v>0.7239967239967241</v>
      </c>
      <c r="N346">
        <v>138</v>
      </c>
      <c r="O346">
        <v>4.4000000000000004</v>
      </c>
      <c r="P346">
        <v>105</v>
      </c>
    </row>
    <row r="347" spans="1:16" x14ac:dyDescent="0.25">
      <c r="A347">
        <f>Questionnaire!A348</f>
        <v>346</v>
      </c>
      <c r="B347" s="43" t="s">
        <v>32</v>
      </c>
      <c r="C347" s="6">
        <v>5</v>
      </c>
      <c r="D347" s="6">
        <v>39</v>
      </c>
      <c r="E347" s="10">
        <v>6</v>
      </c>
      <c r="F347" s="10">
        <v>1.1000000000000001</v>
      </c>
      <c r="G347" s="10">
        <v>3</v>
      </c>
      <c r="H347" s="10">
        <v>3.4</v>
      </c>
      <c r="I347" s="12">
        <f>58.44/88.4</f>
        <v>0.66108597285067872</v>
      </c>
      <c r="J347" s="12">
        <f t="shared" si="11"/>
        <v>10.577375565610859</v>
      </c>
      <c r="K347" s="10">
        <v>4.2</v>
      </c>
      <c r="L347" s="12">
        <f>(((140-Questionnaire!B348)*Questionnaire!Y348)/(72*Results!I347))*0.85</f>
        <v>79.07443531827515</v>
      </c>
      <c r="M347" s="12">
        <f t="shared" si="10"/>
        <v>3.6871149897330597</v>
      </c>
      <c r="N347">
        <v>143</v>
      </c>
      <c r="O347">
        <v>4.9000000000000004</v>
      </c>
      <c r="P347">
        <v>105</v>
      </c>
    </row>
    <row r="348" spans="1:16" x14ac:dyDescent="0.25">
      <c r="A348">
        <f>Questionnaire!A349</f>
        <v>347</v>
      </c>
      <c r="B348" s="43" t="s">
        <v>11</v>
      </c>
      <c r="C348" s="6">
        <v>4.3</v>
      </c>
      <c r="D348" s="6">
        <v>6</v>
      </c>
      <c r="E348" s="10">
        <v>4</v>
      </c>
      <c r="F348" s="10">
        <v>1.1000000000000001</v>
      </c>
      <c r="G348" s="10">
        <v>2</v>
      </c>
      <c r="H348" s="10">
        <v>1.9</v>
      </c>
      <c r="I348" s="12">
        <v>1.45</v>
      </c>
      <c r="J348" s="12">
        <f t="shared" si="11"/>
        <v>23.2</v>
      </c>
      <c r="K348" s="10">
        <v>2.8</v>
      </c>
      <c r="L348" s="12">
        <f>((140-Questionnaire!B349)*Questionnaire!Y349)/(72*Results!I348)</f>
        <v>96.752873563218401</v>
      </c>
      <c r="M348" s="12">
        <f t="shared" si="10"/>
        <v>0.25862068965517243</v>
      </c>
      <c r="N348">
        <v>148</v>
      </c>
      <c r="O348">
        <v>3.8</v>
      </c>
      <c r="P348">
        <v>111</v>
      </c>
    </row>
    <row r="349" spans="1:16" x14ac:dyDescent="0.25">
      <c r="A349">
        <f>Questionnaire!A350</f>
        <v>348</v>
      </c>
      <c r="B349" s="43" t="s">
        <v>11</v>
      </c>
      <c r="C349" s="47">
        <v>6.6</v>
      </c>
      <c r="D349" s="54">
        <v>4</v>
      </c>
      <c r="E349" s="10">
        <v>4</v>
      </c>
      <c r="F349" s="10">
        <v>1.1000000000000001</v>
      </c>
      <c r="G349" s="10">
        <v>2</v>
      </c>
      <c r="H349" s="10">
        <v>1.9</v>
      </c>
      <c r="I349" s="12">
        <f>96.82/88.4</f>
        <v>1.0952488687782804</v>
      </c>
      <c r="J349" s="12">
        <f t="shared" si="11"/>
        <v>17.523981900452487</v>
      </c>
      <c r="K349" s="10">
        <v>3.7</v>
      </c>
      <c r="L349" s="12">
        <f>((140-Questionnaire!B350)*Questionnaire!Y350)/(72*Results!I349)</f>
        <v>66.575432073263102</v>
      </c>
      <c r="M349" s="12">
        <f t="shared" si="10"/>
        <v>0.22825862425118779</v>
      </c>
      <c r="N349">
        <v>144</v>
      </c>
      <c r="O349">
        <v>4.8</v>
      </c>
      <c r="P349">
        <v>107</v>
      </c>
    </row>
    <row r="350" spans="1:16" x14ac:dyDescent="0.25">
      <c r="A350">
        <f>Questionnaire!A351</f>
        <v>349</v>
      </c>
      <c r="B350" s="43" t="s">
        <v>11</v>
      </c>
      <c r="C350" s="6">
        <v>10.4</v>
      </c>
      <c r="D350" s="54">
        <v>4</v>
      </c>
      <c r="E350" s="10">
        <v>4</v>
      </c>
      <c r="F350" s="10">
        <v>0.9</v>
      </c>
      <c r="G350" s="10">
        <v>2</v>
      </c>
      <c r="H350" s="10">
        <v>2.1</v>
      </c>
      <c r="I350" s="12">
        <f>89.84/88.4</f>
        <v>1.0162895927601809</v>
      </c>
      <c r="J350" s="12">
        <f t="shared" si="11"/>
        <v>16.260633484162895</v>
      </c>
      <c r="K350" s="10">
        <v>4</v>
      </c>
      <c r="L350" s="12">
        <f>((140-Questionnaire!B351)*Questionnaire!Y351)/(72*Results!I350)</f>
        <v>61.12922974176314</v>
      </c>
      <c r="M350" s="12">
        <f t="shared" si="10"/>
        <v>0.24599287622439894</v>
      </c>
      <c r="N350">
        <v>144</v>
      </c>
      <c r="O350">
        <v>5</v>
      </c>
      <c r="P350">
        <v>109</v>
      </c>
    </row>
    <row r="351" spans="1:16" x14ac:dyDescent="0.25">
      <c r="A351">
        <f>Questionnaire!A352</f>
        <v>350</v>
      </c>
      <c r="B351" s="43" t="s">
        <v>32</v>
      </c>
      <c r="C351" s="6">
        <v>8.1999999999999993</v>
      </c>
      <c r="D351" s="54">
        <v>160</v>
      </c>
      <c r="E351" s="10">
        <v>7</v>
      </c>
      <c r="F351" s="10">
        <v>1.8</v>
      </c>
      <c r="G351" s="10">
        <v>1</v>
      </c>
      <c r="H351" s="10">
        <v>4.7</v>
      </c>
      <c r="I351" s="12">
        <f>75.01/88.4</f>
        <v>0.84852941176470587</v>
      </c>
      <c r="J351" s="12">
        <f t="shared" si="11"/>
        <v>13.576470588235294</v>
      </c>
      <c r="K351" s="10">
        <v>5.5</v>
      </c>
      <c r="L351" s="12">
        <f>(((140-Questionnaire!B352)*Questionnaire!Y352)/(72*Results!I351))*0.85</f>
        <v>71.123050259965325</v>
      </c>
      <c r="M351" s="12">
        <f t="shared" si="10"/>
        <v>11.785095320623917</v>
      </c>
      <c r="N351">
        <v>146</v>
      </c>
      <c r="O351">
        <v>5</v>
      </c>
      <c r="P351">
        <v>109</v>
      </c>
    </row>
    <row r="352" spans="1:16" x14ac:dyDescent="0.25">
      <c r="A352">
        <f>Questionnaire!A353</f>
        <v>351</v>
      </c>
      <c r="B352" s="43" t="s">
        <v>11</v>
      </c>
      <c r="C352" s="6">
        <v>11.5</v>
      </c>
      <c r="D352" s="6">
        <v>8</v>
      </c>
      <c r="E352" s="10">
        <v>4</v>
      </c>
      <c r="F352" s="10">
        <v>1</v>
      </c>
      <c r="G352" s="10">
        <v>1</v>
      </c>
      <c r="H352" s="10">
        <v>2.5</v>
      </c>
      <c r="I352" s="12">
        <f>79.37/88.4</f>
        <v>0.8978506787330317</v>
      </c>
      <c r="J352" s="12">
        <f t="shared" si="11"/>
        <v>14.365610859728507</v>
      </c>
      <c r="K352" s="10">
        <v>5.4</v>
      </c>
      <c r="L352" s="12">
        <f>((140-Questionnaire!B353)*Questionnaire!Y353)/(72*Results!I352)</f>
        <v>72.271359175731106</v>
      </c>
      <c r="M352" s="12">
        <f t="shared" si="10"/>
        <v>0.55688547310066772</v>
      </c>
      <c r="N352">
        <v>142</v>
      </c>
      <c r="O352">
        <v>4.8</v>
      </c>
      <c r="P352">
        <v>106</v>
      </c>
    </row>
    <row r="353" spans="1:16" x14ac:dyDescent="0.25">
      <c r="A353">
        <f>Questionnaire!A354</f>
        <v>352</v>
      </c>
      <c r="B353" s="43" t="s">
        <v>11</v>
      </c>
      <c r="C353" s="6">
        <v>3.5</v>
      </c>
      <c r="D353" s="54">
        <v>160</v>
      </c>
      <c r="E353" s="10">
        <v>4</v>
      </c>
      <c r="F353" s="10">
        <v>1.3</v>
      </c>
      <c r="G353" s="10">
        <v>2</v>
      </c>
      <c r="H353" s="10">
        <v>1.6</v>
      </c>
      <c r="I353" s="12">
        <f>856.51/88.4</f>
        <v>9.6890271493212659</v>
      </c>
      <c r="J353" s="12">
        <f t="shared" si="11"/>
        <v>155.02443438914025</v>
      </c>
      <c r="K353" s="10">
        <v>25.9</v>
      </c>
      <c r="L353" s="12">
        <f>((140-Questionnaire!B354)*Questionnaire!Y354)/(72*Results!I353)</f>
        <v>5.3611620283346246</v>
      </c>
      <c r="M353" s="12">
        <f t="shared" si="10"/>
        <v>1.0320953637435641</v>
      </c>
      <c r="N353">
        <v>124</v>
      </c>
      <c r="O353">
        <v>5.0999999999999996</v>
      </c>
      <c r="P353">
        <v>9.1</v>
      </c>
    </row>
    <row r="354" spans="1:16" x14ac:dyDescent="0.25">
      <c r="A354">
        <f>Questionnaire!A355</f>
        <v>353</v>
      </c>
      <c r="B354" s="43" t="s">
        <v>11</v>
      </c>
      <c r="C354" s="51">
        <v>4.2</v>
      </c>
      <c r="D354" s="54">
        <v>160</v>
      </c>
      <c r="E354" s="10">
        <v>5</v>
      </c>
      <c r="F354" s="10">
        <v>1.2</v>
      </c>
      <c r="G354" s="10">
        <v>2</v>
      </c>
      <c r="H354" s="10">
        <v>2.8</v>
      </c>
      <c r="I354" s="12">
        <f>110/88.4</f>
        <v>1.244343891402715</v>
      </c>
      <c r="J354" s="12">
        <f t="shared" si="11"/>
        <v>19.909502262443439</v>
      </c>
      <c r="K354" s="10">
        <v>6.2</v>
      </c>
      <c r="L354" s="12">
        <f>((140-Questionnaire!B355)*Questionnaire!Y355)/(72*Results!I354)</f>
        <v>34.824242424242428</v>
      </c>
      <c r="M354" s="12">
        <f t="shared" si="10"/>
        <v>8.036363636363637</v>
      </c>
      <c r="N354">
        <v>143</v>
      </c>
      <c r="O354">
        <v>5.3</v>
      </c>
      <c r="P354">
        <v>104</v>
      </c>
    </row>
    <row r="355" spans="1:16" x14ac:dyDescent="0.25">
      <c r="A355">
        <f>Questionnaire!A356</f>
        <v>354</v>
      </c>
      <c r="B355" s="43" t="s">
        <v>32</v>
      </c>
      <c r="C355" s="51">
        <v>12</v>
      </c>
      <c r="D355" s="6">
        <v>8</v>
      </c>
      <c r="E355" s="10">
        <v>8</v>
      </c>
      <c r="F355" s="10">
        <v>1.5</v>
      </c>
      <c r="G355" s="10">
        <v>2</v>
      </c>
      <c r="H355" s="10">
        <v>2.8</v>
      </c>
      <c r="I355" s="12">
        <f>72.39/88.4</f>
        <v>0.8188914027149321</v>
      </c>
      <c r="J355" s="12">
        <f t="shared" si="11"/>
        <v>13.102262443438914</v>
      </c>
      <c r="K355" s="10">
        <v>3.7</v>
      </c>
      <c r="L355" s="12">
        <f>(((140-Questionnaire!B356)*Questionnaire!Y356)/(72*Results!I355))*0.85</f>
        <v>77.777067888443767</v>
      </c>
      <c r="M355" s="12">
        <f t="shared" si="10"/>
        <v>0.61058157204033703</v>
      </c>
      <c r="N355">
        <v>142</v>
      </c>
      <c r="O355">
        <v>4.7</v>
      </c>
      <c r="P355">
        <v>107</v>
      </c>
    </row>
    <row r="356" spans="1:16" x14ac:dyDescent="0.25">
      <c r="A356">
        <f>Questionnaire!A357</f>
        <v>355</v>
      </c>
      <c r="B356" s="43" t="s">
        <v>32</v>
      </c>
      <c r="C356" s="6">
        <v>3.6</v>
      </c>
      <c r="D356" s="54">
        <v>160</v>
      </c>
      <c r="E356" s="10">
        <v>5</v>
      </c>
      <c r="F356" s="10">
        <v>1.3</v>
      </c>
      <c r="G356" s="10">
        <v>3</v>
      </c>
      <c r="H356" s="10">
        <v>2.2000000000000002</v>
      </c>
      <c r="I356" s="12">
        <f>60.18/88.4</f>
        <v>0.68076923076923068</v>
      </c>
      <c r="J356" s="12">
        <f t="shared" si="11"/>
        <v>10.892307692307691</v>
      </c>
      <c r="K356" s="10">
        <v>3.4</v>
      </c>
      <c r="L356" s="12">
        <f>(((140-Questionnaire!B357)*Questionnaire!Y357)/(72*Results!I356))*0.85</f>
        <v>74.360326428123045</v>
      </c>
      <c r="M356" s="12">
        <f t="shared" si="10"/>
        <v>14.689265536723166</v>
      </c>
      <c r="N356">
        <v>139</v>
      </c>
      <c r="O356">
        <v>5</v>
      </c>
      <c r="P356">
        <v>102</v>
      </c>
    </row>
    <row r="357" spans="1:16" x14ac:dyDescent="0.25">
      <c r="A357">
        <f>Questionnaire!A358</f>
        <v>356</v>
      </c>
      <c r="B357" s="43" t="s">
        <v>62</v>
      </c>
      <c r="C357" s="6">
        <v>7.6</v>
      </c>
      <c r="D357" s="6">
        <v>14</v>
      </c>
      <c r="E357" s="10">
        <v>4</v>
      </c>
      <c r="F357" s="10">
        <v>1</v>
      </c>
      <c r="G357" s="10">
        <v>3</v>
      </c>
      <c r="H357" s="10">
        <v>1.4</v>
      </c>
      <c r="I357" s="12">
        <v>1.1499999999999999</v>
      </c>
      <c r="J357" s="12">
        <f t="shared" si="11"/>
        <v>18.399999999999999</v>
      </c>
      <c r="K357" s="10">
        <v>3.7</v>
      </c>
      <c r="L357" s="12">
        <f>(((140-Questionnaire!B358)*Questionnaire!Y358)/(72*Results!I357))*0.85</f>
        <v>97.154589371980677</v>
      </c>
      <c r="M357" s="12">
        <f t="shared" si="10"/>
        <v>0.76086956521739135</v>
      </c>
      <c r="N357">
        <v>145</v>
      </c>
      <c r="O357">
        <v>4.7</v>
      </c>
      <c r="P357">
        <v>110</v>
      </c>
    </row>
    <row r="358" spans="1:16" x14ac:dyDescent="0.25">
      <c r="A358">
        <f>Questionnaire!A359</f>
        <v>357</v>
      </c>
      <c r="B358" s="43" t="s">
        <v>32</v>
      </c>
      <c r="C358" s="6">
        <v>4.7</v>
      </c>
      <c r="D358" s="6">
        <v>11</v>
      </c>
      <c r="E358" s="10">
        <v>4</v>
      </c>
      <c r="F358" s="10">
        <v>1.1000000000000001</v>
      </c>
      <c r="G358" s="10">
        <v>1</v>
      </c>
      <c r="H358" s="10">
        <v>2.4</v>
      </c>
      <c r="I358" s="12">
        <f>78.5/88.4</f>
        <v>0.88800904977375561</v>
      </c>
      <c r="J358" s="12">
        <f t="shared" si="11"/>
        <v>14.20814479638009</v>
      </c>
      <c r="K358" s="10">
        <v>4.0999999999999996</v>
      </c>
      <c r="L358" s="12">
        <f>(((140-Questionnaire!B359)*Questionnaire!Y359)/(72*Results!I358))*0.85</f>
        <v>73.039483368719047</v>
      </c>
      <c r="M358" s="12">
        <f t="shared" si="10"/>
        <v>0.77420382165605095</v>
      </c>
      <c r="N358">
        <v>140</v>
      </c>
      <c r="O358">
        <v>4.0999999999999996</v>
      </c>
      <c r="P358">
        <v>105</v>
      </c>
    </row>
    <row r="359" spans="1:16" x14ac:dyDescent="0.25">
      <c r="A359">
        <f>Questionnaire!A360</f>
        <v>358</v>
      </c>
      <c r="B359" s="43" t="s">
        <v>32</v>
      </c>
      <c r="C359" s="6">
        <v>10.7</v>
      </c>
      <c r="D359" s="6">
        <v>7</v>
      </c>
      <c r="E359" s="10">
        <v>5</v>
      </c>
      <c r="F359" s="10">
        <v>1.4</v>
      </c>
      <c r="G359" s="10">
        <v>1</v>
      </c>
      <c r="H359" s="10">
        <v>2.9</v>
      </c>
      <c r="I359" s="12">
        <v>0.8</v>
      </c>
      <c r="J359" s="12">
        <f t="shared" si="11"/>
        <v>12.8</v>
      </c>
      <c r="K359" s="10">
        <v>3.3</v>
      </c>
      <c r="L359" s="12">
        <f>(((140-Questionnaire!B360)*Questionnaire!Y360)/(72*Results!I359))*0.85</f>
        <v>99.860243055555557</v>
      </c>
      <c r="M359" s="12">
        <f t="shared" si="10"/>
        <v>0.546875</v>
      </c>
      <c r="N359">
        <v>144</v>
      </c>
      <c r="O359">
        <v>4.7</v>
      </c>
      <c r="P359">
        <v>109</v>
      </c>
    </row>
    <row r="360" spans="1:16" x14ac:dyDescent="0.25">
      <c r="A360">
        <f>Questionnaire!A361</f>
        <v>359</v>
      </c>
      <c r="B360" s="43" t="s">
        <v>32</v>
      </c>
      <c r="C360" s="6">
        <v>14.3</v>
      </c>
      <c r="D360" s="54">
        <v>160</v>
      </c>
      <c r="E360" s="10">
        <v>5</v>
      </c>
      <c r="F360" s="10">
        <v>1</v>
      </c>
      <c r="G360" s="10">
        <v>2</v>
      </c>
      <c r="H360" s="10">
        <v>3</v>
      </c>
      <c r="I360" s="12">
        <f>165/72</f>
        <v>2.2916666666666665</v>
      </c>
      <c r="J360" s="12">
        <f t="shared" si="11"/>
        <v>36.666666666666664</v>
      </c>
      <c r="K360" s="10">
        <v>14.9</v>
      </c>
      <c r="L360" s="12">
        <f>(((140-Questionnaire!B361)*Questionnaire!Y361)/(72*Results!I360))*0.85</f>
        <v>21.327272727272724</v>
      </c>
      <c r="M360" s="12">
        <f t="shared" si="10"/>
        <v>4.3636363636363642</v>
      </c>
      <c r="N360">
        <v>137</v>
      </c>
      <c r="O360">
        <v>5.7</v>
      </c>
      <c r="P360">
        <v>106</v>
      </c>
    </row>
    <row r="361" spans="1:16" x14ac:dyDescent="0.25">
      <c r="A361">
        <f>Questionnaire!A362</f>
        <v>360</v>
      </c>
      <c r="B361" s="43" t="s">
        <v>32</v>
      </c>
      <c r="C361" s="6">
        <v>4.2</v>
      </c>
      <c r="D361" s="6">
        <v>34</v>
      </c>
      <c r="E361" s="10">
        <v>3</v>
      </c>
      <c r="F361" s="10">
        <v>0.9</v>
      </c>
      <c r="G361" s="10">
        <v>1</v>
      </c>
      <c r="H361" s="10">
        <v>1.6</v>
      </c>
      <c r="I361" s="12">
        <v>0.7</v>
      </c>
      <c r="J361" s="12">
        <f t="shared" si="11"/>
        <v>11.2</v>
      </c>
      <c r="K361" s="10">
        <v>3.8</v>
      </c>
      <c r="L361" s="12">
        <f>(((140-Questionnaire!B362)*Questionnaire!Y362)/(72*Results!I361))*0.85</f>
        <v>94.849206349206355</v>
      </c>
      <c r="M361" s="12">
        <f t="shared" si="10"/>
        <v>3.035714285714286</v>
      </c>
      <c r="N361">
        <v>138</v>
      </c>
      <c r="O361">
        <v>4.3</v>
      </c>
      <c r="P361">
        <v>104</v>
      </c>
    </row>
    <row r="362" spans="1:16" x14ac:dyDescent="0.25">
      <c r="A362">
        <f>Questionnaire!A363</f>
        <v>361</v>
      </c>
      <c r="B362" s="43" t="s">
        <v>32</v>
      </c>
      <c r="C362" s="6">
        <v>3.4</v>
      </c>
      <c r="D362" s="54">
        <v>160</v>
      </c>
      <c r="E362" s="10">
        <v>4</v>
      </c>
      <c r="F362" s="10">
        <v>0.8</v>
      </c>
      <c r="G362" s="10">
        <v>3</v>
      </c>
      <c r="H362" s="10">
        <v>1.7</v>
      </c>
      <c r="I362" s="12">
        <f>163.1/88.4</f>
        <v>1.845022624434389</v>
      </c>
      <c r="J362" s="12">
        <f t="shared" si="11"/>
        <v>29.520361990950224</v>
      </c>
      <c r="K362" s="10">
        <v>8.8000000000000007</v>
      </c>
      <c r="L362" s="12">
        <f>(((140-Questionnaire!B363)*Questionnaire!Y363)/(72*Results!I362))*0.85</f>
        <v>36.43360923768649</v>
      </c>
      <c r="M362" s="12">
        <f t="shared" si="10"/>
        <v>5.4199877375843046</v>
      </c>
      <c r="N362">
        <v>148</v>
      </c>
      <c r="O362">
        <v>5.5</v>
      </c>
      <c r="P362">
        <v>113</v>
      </c>
    </row>
    <row r="363" spans="1:16" x14ac:dyDescent="0.25">
      <c r="A363">
        <f>Questionnaire!A364</f>
        <v>362</v>
      </c>
      <c r="B363" s="43" t="s">
        <v>11</v>
      </c>
      <c r="C363" s="6">
        <v>4.5</v>
      </c>
      <c r="D363" s="6">
        <v>11</v>
      </c>
      <c r="E363" s="10">
        <v>4</v>
      </c>
      <c r="F363" s="10">
        <v>0.9</v>
      </c>
      <c r="G363" s="10">
        <v>3</v>
      </c>
      <c r="H363" s="10">
        <v>1.6</v>
      </c>
      <c r="I363" s="12">
        <f>96.82/88.4</f>
        <v>1.0952488687782804</v>
      </c>
      <c r="J363" s="12">
        <f t="shared" si="11"/>
        <v>17.523981900452487</v>
      </c>
      <c r="K363" s="10">
        <v>3.2</v>
      </c>
      <c r="L363" s="12">
        <f>((140-Questionnaire!B364)*Questionnaire!Y364)/(72*Results!I363)</f>
        <v>70.354380408088318</v>
      </c>
      <c r="M363" s="12">
        <f t="shared" si="10"/>
        <v>0.62771121669076646</v>
      </c>
      <c r="N363">
        <v>140</v>
      </c>
      <c r="O363">
        <v>4.2</v>
      </c>
      <c r="P363">
        <v>107</v>
      </c>
    </row>
    <row r="364" spans="1:16" x14ac:dyDescent="0.25">
      <c r="A364">
        <f>Questionnaire!A365</f>
        <v>363</v>
      </c>
      <c r="B364" s="43" t="s">
        <v>32</v>
      </c>
      <c r="C364" s="6">
        <v>12.2</v>
      </c>
      <c r="D364" s="6">
        <v>48</v>
      </c>
      <c r="E364" s="10">
        <v>5</v>
      </c>
      <c r="F364" s="10">
        <v>1</v>
      </c>
      <c r="G364" s="10">
        <v>3</v>
      </c>
      <c r="H364" s="10">
        <v>2.5</v>
      </c>
      <c r="I364" s="12">
        <f>57.57/88.4</f>
        <v>0.65124434389140262</v>
      </c>
      <c r="J364" s="12">
        <f t="shared" si="11"/>
        <v>10.419909502262442</v>
      </c>
      <c r="K364" s="10">
        <v>4.2</v>
      </c>
      <c r="L364" s="12">
        <f>(((140-Questionnaire!B365)*Questionnaire!Y365)/(72*Results!I364))*0.85</f>
        <v>87.339210236813159</v>
      </c>
      <c r="M364" s="12">
        <f t="shared" si="10"/>
        <v>4.6065659197498707</v>
      </c>
      <c r="N364">
        <v>142</v>
      </c>
      <c r="O364">
        <v>4.7</v>
      </c>
      <c r="P364">
        <v>108</v>
      </c>
    </row>
    <row r="365" spans="1:16" x14ac:dyDescent="0.25">
      <c r="A365">
        <f>Questionnaire!A366</f>
        <v>364</v>
      </c>
      <c r="B365" s="43" t="s">
        <v>32</v>
      </c>
      <c r="C365" s="6">
        <v>6</v>
      </c>
      <c r="D365" s="6">
        <v>11</v>
      </c>
      <c r="E365" s="10">
        <v>4.7</v>
      </c>
      <c r="F365" s="10">
        <v>0.9</v>
      </c>
      <c r="G365" s="10">
        <v>2.2000000000000002</v>
      </c>
      <c r="H365" s="10">
        <v>2.6</v>
      </c>
      <c r="I365" s="12">
        <f>150/88.4</f>
        <v>1.6968325791855203</v>
      </c>
      <c r="J365" s="12">
        <f t="shared" si="11"/>
        <v>27.149321266968325</v>
      </c>
      <c r="K365" s="10">
        <v>8</v>
      </c>
      <c r="L365" s="12">
        <f>(((140-Questionnaire!B366)*Questionnaire!Y366)/(72*Results!I365))*0.85</f>
        <v>50.858648148148148</v>
      </c>
      <c r="M365" s="12">
        <f t="shared" si="10"/>
        <v>0.40516666666666667</v>
      </c>
      <c r="N365">
        <v>139</v>
      </c>
      <c r="O365">
        <v>4.2</v>
      </c>
      <c r="P365">
        <v>92</v>
      </c>
    </row>
    <row r="366" spans="1:16" x14ac:dyDescent="0.25">
      <c r="A366">
        <f>Questionnaire!A367</f>
        <v>365</v>
      </c>
      <c r="B366" s="43" t="s">
        <v>32</v>
      </c>
      <c r="C366" s="51">
        <v>9.1999999999999993</v>
      </c>
      <c r="D366" s="6">
        <v>5</v>
      </c>
      <c r="E366" s="10">
        <v>5</v>
      </c>
      <c r="F366" s="10">
        <v>0.9</v>
      </c>
      <c r="G366" s="10">
        <v>2</v>
      </c>
      <c r="H366" s="10">
        <v>2.9</v>
      </c>
      <c r="I366" s="12">
        <v>1</v>
      </c>
      <c r="J366" s="12">
        <f t="shared" si="11"/>
        <v>16</v>
      </c>
      <c r="K366" s="10">
        <v>3.7</v>
      </c>
      <c r="L366" s="12">
        <f>(((140-Questionnaire!B367)*Questionnaire!Y367)/(72*Results!I366))*0.85</f>
        <v>99.73333333333332</v>
      </c>
      <c r="M366" s="12">
        <f t="shared" si="10"/>
        <v>0.3125</v>
      </c>
      <c r="N366">
        <v>142</v>
      </c>
      <c r="O366">
        <v>4.7</v>
      </c>
      <c r="P366">
        <v>105</v>
      </c>
    </row>
    <row r="367" spans="1:16" x14ac:dyDescent="0.25">
      <c r="A367">
        <f>Questionnaire!A368</f>
        <v>366</v>
      </c>
      <c r="B367" s="43" t="s">
        <v>11</v>
      </c>
      <c r="C367" s="6">
        <v>6</v>
      </c>
      <c r="D367" s="6">
        <v>5</v>
      </c>
      <c r="E367" s="10">
        <v>4</v>
      </c>
      <c r="F367" s="10">
        <v>0.8</v>
      </c>
      <c r="G367" s="10">
        <v>1</v>
      </c>
      <c r="H367" s="10">
        <v>2.7</v>
      </c>
      <c r="I367" s="12">
        <f>130.83/88.4</f>
        <v>1.4799773755656109</v>
      </c>
      <c r="J367" s="12">
        <f t="shared" si="11"/>
        <v>23.679638009049775</v>
      </c>
      <c r="K367" s="10">
        <v>7.2</v>
      </c>
      <c r="L367" s="12">
        <f>((140-Questionnaire!B368)*Questionnaire!Y368)/(72*Results!I367)</f>
        <v>52.966275149260703</v>
      </c>
      <c r="M367" s="12">
        <f t="shared" si="10"/>
        <v>0.21115187648092945</v>
      </c>
      <c r="N367">
        <v>136</v>
      </c>
      <c r="O367">
        <v>4.7</v>
      </c>
      <c r="P367">
        <v>107</v>
      </c>
    </row>
    <row r="368" spans="1:16" x14ac:dyDescent="0.25">
      <c r="A368">
        <f>Questionnaire!A369</f>
        <v>367</v>
      </c>
      <c r="B368" s="43" t="s">
        <v>32</v>
      </c>
      <c r="C368" s="51">
        <v>8.1999999999999993</v>
      </c>
      <c r="D368" s="54">
        <v>160</v>
      </c>
      <c r="E368" s="10">
        <v>4</v>
      </c>
      <c r="F368" s="10">
        <v>1</v>
      </c>
      <c r="G368" s="10">
        <v>4</v>
      </c>
      <c r="H368" s="10">
        <v>1.2</v>
      </c>
      <c r="I368" s="12">
        <f>94.2/88.4</f>
        <v>1.0656108597285068</v>
      </c>
      <c r="J368" s="12">
        <f t="shared" si="11"/>
        <v>17.049773755656108</v>
      </c>
      <c r="K368" s="10">
        <v>7.2</v>
      </c>
      <c r="L368" s="12">
        <f>(((140-Questionnaire!B369)*Questionnaire!Y369)/(72*Results!I368))*0.85</f>
        <v>46.707690493040815</v>
      </c>
      <c r="M368" s="12">
        <f t="shared" si="10"/>
        <v>9.3842887473460728</v>
      </c>
      <c r="N368">
        <v>142</v>
      </c>
      <c r="O368">
        <v>4.0999999999999996</v>
      </c>
      <c r="P368">
        <v>106</v>
      </c>
    </row>
    <row r="369" spans="1:16" x14ac:dyDescent="0.25">
      <c r="A369">
        <f>Questionnaire!A370</f>
        <v>368</v>
      </c>
      <c r="B369" s="43" t="s">
        <v>32</v>
      </c>
      <c r="C369" s="51">
        <v>4.5999999999999996</v>
      </c>
      <c r="D369" s="54">
        <v>160</v>
      </c>
      <c r="E369" s="10">
        <v>7</v>
      </c>
      <c r="F369" s="10">
        <v>1.3</v>
      </c>
      <c r="G369" s="10">
        <v>1</v>
      </c>
      <c r="H369" s="10">
        <v>4.8</v>
      </c>
      <c r="I369" s="12">
        <f>75.88/88.4</f>
        <v>0.85837104072398185</v>
      </c>
      <c r="J369" s="12">
        <f t="shared" si="11"/>
        <v>13.73393665158371</v>
      </c>
      <c r="K369" s="10">
        <v>5.8</v>
      </c>
      <c r="L369" s="12">
        <f>(((140-Questionnaire!B370)*Questionnaire!Y370)/(72*Results!I369))*0.85</f>
        <v>74.818719615767591</v>
      </c>
      <c r="M369" s="12">
        <f t="shared" si="10"/>
        <v>11.649973642593569</v>
      </c>
      <c r="N369">
        <v>139</v>
      </c>
      <c r="O369">
        <v>4.5999999999999996</v>
      </c>
      <c r="P369">
        <v>106</v>
      </c>
    </row>
    <row r="370" spans="1:16" x14ac:dyDescent="0.25">
      <c r="A370">
        <f>Questionnaire!A371</f>
        <v>369</v>
      </c>
      <c r="B370" s="43" t="s">
        <v>32</v>
      </c>
      <c r="C370" s="51">
        <v>3.8</v>
      </c>
      <c r="D370" s="6">
        <v>17</v>
      </c>
      <c r="E370" s="10">
        <v>7</v>
      </c>
      <c r="F370" s="10">
        <v>1.9</v>
      </c>
      <c r="G370" s="10">
        <v>2</v>
      </c>
      <c r="H370" s="10">
        <v>4</v>
      </c>
      <c r="I370" s="12">
        <f>47.97/88.4</f>
        <v>0.54264705882352937</v>
      </c>
      <c r="J370" s="12">
        <f t="shared" si="11"/>
        <v>8.6823529411764699</v>
      </c>
      <c r="K370" s="10">
        <v>3</v>
      </c>
      <c r="L370" s="12">
        <f>(((140-Questionnaire!B371)*Questionnaire!Y371)/(72*Results!I370))*0.85</f>
        <v>71.880156579343577</v>
      </c>
      <c r="M370" s="12">
        <f t="shared" si="10"/>
        <v>1.9579945799457996</v>
      </c>
      <c r="N370">
        <v>136</v>
      </c>
      <c r="O370">
        <v>4.8</v>
      </c>
      <c r="P370">
        <v>100</v>
      </c>
    </row>
    <row r="371" spans="1:16" x14ac:dyDescent="0.25">
      <c r="A371">
        <f>Questionnaire!A372</f>
        <v>370</v>
      </c>
      <c r="B371" s="43" t="s">
        <v>11</v>
      </c>
      <c r="C371" s="6">
        <v>8.5</v>
      </c>
      <c r="D371" s="54">
        <v>4</v>
      </c>
      <c r="E371" s="10">
        <v>3</v>
      </c>
      <c r="F371" s="10">
        <v>1</v>
      </c>
      <c r="G371" s="10">
        <v>1</v>
      </c>
      <c r="H371" s="10">
        <v>1.5</v>
      </c>
      <c r="I371" s="12">
        <f>90.71/88.4</f>
        <v>1.0261312217194569</v>
      </c>
      <c r="J371" s="12">
        <f t="shared" si="11"/>
        <v>16.418099547511311</v>
      </c>
      <c r="K371" s="10">
        <v>6.3</v>
      </c>
      <c r="L371" s="12">
        <f>((140-Questionnaire!B372)*Questionnaire!Y372)/(72*Results!I371)</f>
        <v>75.12034689302908</v>
      </c>
      <c r="M371" s="12">
        <f t="shared" si="10"/>
        <v>0.24363355749090509</v>
      </c>
      <c r="N371">
        <v>140</v>
      </c>
      <c r="O371">
        <v>4.5999999999999996</v>
      </c>
      <c r="P371">
        <v>107</v>
      </c>
    </row>
    <row r="372" spans="1:16" x14ac:dyDescent="0.25">
      <c r="A372">
        <f>Questionnaire!A373</f>
        <v>371</v>
      </c>
      <c r="B372" s="43" t="s">
        <v>32</v>
      </c>
      <c r="C372" s="6">
        <v>6.4</v>
      </c>
      <c r="D372" s="6">
        <v>46</v>
      </c>
      <c r="E372" s="10">
        <v>3</v>
      </c>
      <c r="F372" s="10">
        <v>0.9</v>
      </c>
      <c r="G372" s="10">
        <v>1</v>
      </c>
      <c r="H372" s="10">
        <v>1.6</v>
      </c>
      <c r="I372" s="12">
        <f>63.67/88.4</f>
        <v>0.72024886877828054</v>
      </c>
      <c r="J372" s="12">
        <f t="shared" si="11"/>
        <v>11.523981900452489</v>
      </c>
      <c r="K372" s="10">
        <v>4.9000000000000004</v>
      </c>
      <c r="L372" s="12">
        <f>(((140-Questionnaire!B373)*Questionnaire!Y373)/(72*Results!I372))*0.85</f>
        <v>86.937542537039946</v>
      </c>
      <c r="M372" s="12">
        <f t="shared" si="10"/>
        <v>3.9916758284906551</v>
      </c>
      <c r="N372">
        <v>145</v>
      </c>
      <c r="O372">
        <v>3.6</v>
      </c>
      <c r="P372">
        <v>109</v>
      </c>
    </row>
    <row r="373" spans="1:16" x14ac:dyDescent="0.25">
      <c r="A373">
        <f>Questionnaire!A374</f>
        <v>372</v>
      </c>
      <c r="B373" s="43" t="s">
        <v>32</v>
      </c>
      <c r="C373" s="6">
        <v>8.1</v>
      </c>
      <c r="D373" s="6">
        <v>24</v>
      </c>
      <c r="E373" s="10">
        <v>7</v>
      </c>
      <c r="F373" s="10">
        <v>1.2</v>
      </c>
      <c r="G373" s="10">
        <v>3</v>
      </c>
      <c r="H373" s="10">
        <v>4.2</v>
      </c>
      <c r="I373" s="12">
        <f>71.52/88.4</f>
        <v>0.80904977375565601</v>
      </c>
      <c r="J373" s="12">
        <f t="shared" si="11"/>
        <v>12.944796380090496</v>
      </c>
      <c r="K373" s="10">
        <v>4</v>
      </c>
      <c r="L373" s="12">
        <f>(((140-Questionnaire!B374)*Questionnaire!Y374)/(72*Results!I373))*0.85</f>
        <v>91.381635673005221</v>
      </c>
      <c r="M373" s="12">
        <f t="shared" si="10"/>
        <v>1.8540268456375841</v>
      </c>
      <c r="N373">
        <v>145</v>
      </c>
      <c r="O373">
        <v>4.2</v>
      </c>
      <c r="P373">
        <v>109</v>
      </c>
    </row>
    <row r="374" spans="1:16" x14ac:dyDescent="0.25">
      <c r="A374">
        <f>Questionnaire!A375</f>
        <v>373</v>
      </c>
      <c r="B374" s="43" t="s">
        <v>11</v>
      </c>
      <c r="C374" s="51">
        <v>11.1</v>
      </c>
      <c r="D374" s="6">
        <v>32</v>
      </c>
      <c r="E374" s="10">
        <v>3</v>
      </c>
      <c r="F374" s="10">
        <v>1.1000000000000001</v>
      </c>
      <c r="G374" s="10">
        <v>1</v>
      </c>
      <c r="H374" s="10">
        <v>1.4</v>
      </c>
      <c r="I374" s="12">
        <f>88.09/88.4</f>
        <v>0.99649321266968327</v>
      </c>
      <c r="J374" s="12">
        <f t="shared" si="11"/>
        <v>15.943891402714932</v>
      </c>
      <c r="K374" s="10">
        <v>6.3</v>
      </c>
      <c r="L374" s="12">
        <f>((140-Questionnaire!B375)*Questionnaire!Y375)/(72*Results!I374)</f>
        <v>34.119650357588824</v>
      </c>
      <c r="M374" s="12">
        <f t="shared" si="10"/>
        <v>2.0070382563287548</v>
      </c>
      <c r="N374">
        <v>145</v>
      </c>
      <c r="O374">
        <v>4.9000000000000004</v>
      </c>
      <c r="P374">
        <v>109</v>
      </c>
    </row>
    <row r="375" spans="1:16" x14ac:dyDescent="0.25">
      <c r="A375">
        <f>Questionnaire!A376</f>
        <v>374</v>
      </c>
      <c r="B375" s="43" t="s">
        <v>32</v>
      </c>
      <c r="C375" s="6">
        <v>8.1999999999999993</v>
      </c>
      <c r="D375" s="6">
        <v>6</v>
      </c>
      <c r="E375" s="10">
        <v>7</v>
      </c>
      <c r="F375" s="10">
        <v>1.1000000000000001</v>
      </c>
      <c r="G375" s="10">
        <v>3</v>
      </c>
      <c r="H375" s="10">
        <v>4</v>
      </c>
      <c r="I375" s="12">
        <f>78.5/88.4</f>
        <v>0.88800904977375561</v>
      </c>
      <c r="J375" s="12">
        <f t="shared" si="11"/>
        <v>14.20814479638009</v>
      </c>
      <c r="K375" s="10">
        <v>4.0999999999999996</v>
      </c>
      <c r="L375" s="12">
        <f>(((140-Questionnaire!B376)*Questionnaire!Y376)/(72*Results!I375))*0.85</f>
        <v>55.318036093418257</v>
      </c>
      <c r="M375" s="12">
        <f t="shared" si="10"/>
        <v>0.42229299363057327</v>
      </c>
      <c r="N375">
        <v>141</v>
      </c>
      <c r="O375">
        <v>4.8</v>
      </c>
      <c r="P375">
        <v>106</v>
      </c>
    </row>
    <row r="376" spans="1:16" x14ac:dyDescent="0.25">
      <c r="A376">
        <f>Questionnaire!A377</f>
        <v>375</v>
      </c>
      <c r="B376" s="43" t="s">
        <v>32</v>
      </c>
      <c r="C376" s="51">
        <v>8.6999999999999993</v>
      </c>
      <c r="D376" s="6">
        <v>36</v>
      </c>
      <c r="E376" s="10">
        <v>7</v>
      </c>
      <c r="F376" s="10">
        <v>1.3</v>
      </c>
      <c r="G376" s="10">
        <v>3</v>
      </c>
      <c r="H376" s="10">
        <v>4</v>
      </c>
      <c r="I376" s="12">
        <f>61.93/88.4</f>
        <v>0.70056561085972846</v>
      </c>
      <c r="J376" s="12">
        <f t="shared" si="11"/>
        <v>11.209049773755655</v>
      </c>
      <c r="K376" s="10">
        <v>4</v>
      </c>
      <c r="L376" s="12">
        <f>(((140-Questionnaire!B377)*Questionnaire!Y377)/(72*Results!I376))*0.85</f>
        <v>78.864847408364298</v>
      </c>
      <c r="M376" s="12">
        <f t="shared" si="10"/>
        <v>3.2116906184401746</v>
      </c>
      <c r="N376">
        <v>140</v>
      </c>
      <c r="O376">
        <v>4.9000000000000004</v>
      </c>
      <c r="P376">
        <v>108</v>
      </c>
    </row>
    <row r="377" spans="1:16" x14ac:dyDescent="0.25">
      <c r="A377">
        <f>Questionnaire!A378</f>
        <v>376</v>
      </c>
      <c r="B377" s="43" t="s">
        <v>32</v>
      </c>
      <c r="C377" s="6">
        <v>14.6</v>
      </c>
      <c r="D377" s="6">
        <v>7</v>
      </c>
      <c r="E377" s="10">
        <v>3</v>
      </c>
      <c r="F377" s="10">
        <v>0.9</v>
      </c>
      <c r="G377" s="10">
        <v>1</v>
      </c>
      <c r="H377" s="10">
        <v>1.6</v>
      </c>
      <c r="I377" s="12">
        <f>64.54/88.4</f>
        <v>0.73009049773755663</v>
      </c>
      <c r="J377" s="12">
        <f t="shared" si="11"/>
        <v>11.681447963800906</v>
      </c>
      <c r="K377" s="10">
        <v>3.7</v>
      </c>
      <c r="L377" s="12">
        <f>(((140-Questionnaire!B378)*Questionnaire!Y378)/(72*Results!I377))*0.85</f>
        <v>63.062958372068991</v>
      </c>
      <c r="M377" s="12">
        <f t="shared" si="10"/>
        <v>0.59924078091106281</v>
      </c>
      <c r="N377">
        <v>142</v>
      </c>
      <c r="O377">
        <v>4.5999999999999996</v>
      </c>
      <c r="P377">
        <v>106</v>
      </c>
    </row>
    <row r="378" spans="1:16" x14ac:dyDescent="0.25">
      <c r="A378">
        <f>Questionnaire!A379</f>
        <v>377</v>
      </c>
      <c r="B378" s="43" t="s">
        <v>11</v>
      </c>
      <c r="C378" s="6">
        <v>10.8</v>
      </c>
      <c r="D378" s="54">
        <v>4</v>
      </c>
      <c r="E378" s="10">
        <v>5</v>
      </c>
      <c r="F378" s="10">
        <v>1.9</v>
      </c>
      <c r="G378" s="10">
        <v>1</v>
      </c>
      <c r="H378" s="10">
        <v>2.6</v>
      </c>
      <c r="I378" s="12">
        <v>1</v>
      </c>
      <c r="J378" s="12">
        <f t="shared" si="11"/>
        <v>16</v>
      </c>
      <c r="K378" s="10">
        <v>4.4000000000000004</v>
      </c>
      <c r="L378" s="12">
        <f>((140-Questionnaire!B379)*Questionnaire!Y379)/(72*Results!I378)</f>
        <v>99.597222222222229</v>
      </c>
      <c r="M378" s="12">
        <f t="shared" si="10"/>
        <v>0.25</v>
      </c>
      <c r="N378">
        <v>138</v>
      </c>
      <c r="O378">
        <v>4.5</v>
      </c>
      <c r="P378">
        <v>105</v>
      </c>
    </row>
    <row r="379" spans="1:16" x14ac:dyDescent="0.25">
      <c r="A379">
        <f>Questionnaire!A380</f>
        <v>378</v>
      </c>
      <c r="B379" s="43" t="s">
        <v>11</v>
      </c>
      <c r="C379" s="6">
        <v>11.8</v>
      </c>
      <c r="D379" s="54">
        <v>4</v>
      </c>
      <c r="E379" s="10">
        <v>7</v>
      </c>
      <c r="F379" s="10">
        <v>1.2</v>
      </c>
      <c r="G379" s="10">
        <v>3</v>
      </c>
      <c r="H379" s="10">
        <v>4.3</v>
      </c>
      <c r="I379" s="12">
        <v>1.3</v>
      </c>
      <c r="J379" s="12">
        <f t="shared" si="11"/>
        <v>20.8</v>
      </c>
      <c r="K379" s="10">
        <v>2.8</v>
      </c>
      <c r="L379" s="12">
        <f>((140-Questionnaire!B380)*Questionnaire!Y380)/(72*Results!I379)</f>
        <v>96.92307692307692</v>
      </c>
      <c r="M379" s="12">
        <f t="shared" si="10"/>
        <v>0.19230769230769229</v>
      </c>
      <c r="N379">
        <v>145</v>
      </c>
      <c r="O379">
        <v>4.9000000000000004</v>
      </c>
      <c r="P379">
        <v>108</v>
      </c>
    </row>
    <row r="380" spans="1:16" x14ac:dyDescent="0.25">
      <c r="A380">
        <f>Questionnaire!A381</f>
        <v>379</v>
      </c>
      <c r="B380" s="43" t="s">
        <v>11</v>
      </c>
      <c r="C380" s="6">
        <v>3.3</v>
      </c>
      <c r="D380" s="54">
        <v>4</v>
      </c>
      <c r="E380" s="10">
        <v>6</v>
      </c>
      <c r="F380" s="10">
        <v>0.9</v>
      </c>
      <c r="G380" s="10">
        <v>3</v>
      </c>
      <c r="H380" s="10">
        <v>3.2</v>
      </c>
      <c r="I380" s="12">
        <v>1.1000000000000001</v>
      </c>
      <c r="J380" s="12">
        <f t="shared" si="11"/>
        <v>17.600000000000001</v>
      </c>
      <c r="K380" s="10">
        <v>2.7</v>
      </c>
      <c r="L380" s="12">
        <f>((140-Questionnaire!B381)*Questionnaire!Y381)/(72*Results!I380)</f>
        <v>91.111111111111114</v>
      </c>
      <c r="M380" s="12">
        <f t="shared" si="10"/>
        <v>0.22727272727272727</v>
      </c>
      <c r="N380">
        <v>142</v>
      </c>
      <c r="O380">
        <v>4.9000000000000004</v>
      </c>
      <c r="P380">
        <v>106</v>
      </c>
    </row>
    <row r="381" spans="1:16" x14ac:dyDescent="0.25">
      <c r="A381">
        <f>Questionnaire!A382</f>
        <v>380</v>
      </c>
      <c r="B381" s="43" t="s">
        <v>11</v>
      </c>
      <c r="C381" s="6">
        <v>15</v>
      </c>
      <c r="D381" s="6">
        <v>21</v>
      </c>
      <c r="E381" s="10">
        <v>4</v>
      </c>
      <c r="F381" s="10">
        <v>1</v>
      </c>
      <c r="G381" s="10">
        <v>1</v>
      </c>
      <c r="H381" s="10">
        <v>2.5</v>
      </c>
      <c r="I381" s="12">
        <f>81.99/88.4</f>
        <v>0.92748868778280535</v>
      </c>
      <c r="J381" s="12">
        <f t="shared" si="11"/>
        <v>14.839819004524886</v>
      </c>
      <c r="K381" s="10">
        <v>5</v>
      </c>
      <c r="L381" s="12">
        <f>((140-Questionnaire!B382)*Questionnaire!Y382)/(72*Results!I381)</f>
        <v>70.920301933840165</v>
      </c>
      <c r="M381" s="12">
        <f t="shared" si="10"/>
        <v>1.415111598975485</v>
      </c>
      <c r="N381">
        <v>145</v>
      </c>
      <c r="O381">
        <v>4.0999999999999996</v>
      </c>
      <c r="P381">
        <v>110</v>
      </c>
    </row>
    <row r="382" spans="1:16" x14ac:dyDescent="0.25">
      <c r="A382">
        <f>Questionnaire!A383</f>
        <v>381</v>
      </c>
      <c r="B382" s="43" t="s">
        <v>32</v>
      </c>
      <c r="C382" s="6">
        <v>5.9</v>
      </c>
      <c r="D382" s="6">
        <v>13</v>
      </c>
      <c r="E382" s="10">
        <v>5</v>
      </c>
      <c r="F382" s="10">
        <v>0.9</v>
      </c>
      <c r="G382" s="10">
        <v>1</v>
      </c>
      <c r="H382" s="10">
        <v>3.3</v>
      </c>
      <c r="I382" s="12">
        <f>55.82/88.4</f>
        <v>0.63144796380090495</v>
      </c>
      <c r="J382" s="12">
        <f t="shared" si="11"/>
        <v>10.103167420814479</v>
      </c>
      <c r="K382" s="10">
        <v>4.2</v>
      </c>
      <c r="L382" s="12">
        <f>(((140-Questionnaire!B383)*Questionnaire!Y383)/(72*Results!I382))*0.85</f>
        <v>91.143034157410725</v>
      </c>
      <c r="M382" s="12">
        <f t="shared" si="10"/>
        <v>1.286725188104622</v>
      </c>
      <c r="N382">
        <v>145</v>
      </c>
      <c r="O382">
        <v>3.8</v>
      </c>
      <c r="P382">
        <v>108</v>
      </c>
    </row>
    <row r="383" spans="1:16" x14ac:dyDescent="0.25">
      <c r="A383">
        <f>Questionnaire!A384</f>
        <v>382</v>
      </c>
      <c r="B383" s="43" t="s">
        <v>32</v>
      </c>
      <c r="C383" s="51">
        <v>5</v>
      </c>
      <c r="D383" s="6">
        <v>13</v>
      </c>
      <c r="E383" s="10">
        <v>7</v>
      </c>
      <c r="F383" s="10">
        <v>1.2</v>
      </c>
      <c r="G383" s="10">
        <v>3</v>
      </c>
      <c r="H383" s="10">
        <v>3.8</v>
      </c>
      <c r="I383" s="12">
        <f>77.63/88.4</f>
        <v>0.87816742081447952</v>
      </c>
      <c r="J383" s="12">
        <f t="shared" si="11"/>
        <v>14.050678733031672</v>
      </c>
      <c r="K383" s="10">
        <v>3.7</v>
      </c>
      <c r="L383" s="12">
        <f>(((140-Questionnaire!B384)*Questionnaire!Y384)/(72*Results!I383))*0.85</f>
        <v>84.397662701990939</v>
      </c>
      <c r="M383" s="12">
        <f t="shared" si="10"/>
        <v>0.92522220790931353</v>
      </c>
      <c r="N383">
        <v>132</v>
      </c>
      <c r="O383">
        <v>5.3</v>
      </c>
      <c r="P383">
        <v>97</v>
      </c>
    </row>
    <row r="384" spans="1:16" x14ac:dyDescent="0.25">
      <c r="A384">
        <f>Questionnaire!A385</f>
        <v>383</v>
      </c>
      <c r="B384" s="43" t="s">
        <v>32</v>
      </c>
      <c r="C384" s="6">
        <v>9.9</v>
      </c>
      <c r="D384" s="6">
        <v>14</v>
      </c>
      <c r="E384" s="10">
        <v>5</v>
      </c>
      <c r="F384" s="10">
        <v>1</v>
      </c>
      <c r="G384" s="10">
        <v>4</v>
      </c>
      <c r="H384" s="10">
        <v>2</v>
      </c>
      <c r="I384" s="12">
        <v>1.1000000000000001</v>
      </c>
      <c r="J384" s="12">
        <f t="shared" si="11"/>
        <v>17.600000000000001</v>
      </c>
      <c r="K384" s="10">
        <v>5.8</v>
      </c>
      <c r="L384" s="12">
        <f>(((140-Questionnaire!B385)*Questionnaire!Y385)/(72*Results!I384))*0.85</f>
        <v>90.666666666666657</v>
      </c>
      <c r="M384" s="12">
        <f t="shared" si="10"/>
        <v>0.79545454545454541</v>
      </c>
      <c r="N384">
        <v>140</v>
      </c>
      <c r="O384">
        <v>3.9</v>
      </c>
      <c r="P384">
        <v>105</v>
      </c>
    </row>
    <row r="385" spans="1:16" x14ac:dyDescent="0.25">
      <c r="A385">
        <f>Questionnaire!A386</f>
        <v>384</v>
      </c>
      <c r="B385" s="43" t="s">
        <v>32</v>
      </c>
      <c r="C385" s="6">
        <v>8.5</v>
      </c>
      <c r="D385" s="54">
        <v>160</v>
      </c>
      <c r="E385" s="10">
        <v>6</v>
      </c>
      <c r="F385" s="10">
        <v>1.6</v>
      </c>
      <c r="G385" s="10">
        <v>1</v>
      </c>
      <c r="H385" s="10">
        <v>3.2</v>
      </c>
      <c r="I385" s="12">
        <f>97.69/88.4</f>
        <v>1.1050904977375564</v>
      </c>
      <c r="J385" s="12">
        <f t="shared" si="11"/>
        <v>17.681447963800903</v>
      </c>
      <c r="K385" s="10">
        <v>7.6</v>
      </c>
      <c r="L385" s="12">
        <f>(((140-Questionnaire!B386)*Questionnaire!Y386)/(72*Results!I385))*0.85</f>
        <v>41.406865254034877</v>
      </c>
      <c r="M385" s="12">
        <f t="shared" si="10"/>
        <v>9.0490326543146704</v>
      </c>
      <c r="N385">
        <v>132</v>
      </c>
      <c r="O385">
        <v>4.2</v>
      </c>
      <c r="P385">
        <v>95</v>
      </c>
    </row>
    <row r="386" spans="1:16" x14ac:dyDescent="0.25">
      <c r="A386">
        <f>Questionnaire!A387</f>
        <v>385</v>
      </c>
      <c r="B386" s="43" t="s">
        <v>32</v>
      </c>
      <c r="C386" s="6">
        <v>10.9</v>
      </c>
      <c r="D386" s="6">
        <v>32</v>
      </c>
      <c r="E386" s="10">
        <v>4</v>
      </c>
      <c r="F386" s="10">
        <v>1.3</v>
      </c>
      <c r="G386" s="10">
        <v>1</v>
      </c>
      <c r="H386" s="10">
        <v>2.2000000000000002</v>
      </c>
      <c r="I386" s="12">
        <f>62.8/88.4</f>
        <v>0.71040723981900444</v>
      </c>
      <c r="J386" s="12">
        <f t="shared" si="11"/>
        <v>11.366515837104071</v>
      </c>
      <c r="K386" s="10">
        <v>3.9</v>
      </c>
      <c r="L386" s="12">
        <f>(((140-Questionnaire!B387)*Questionnaire!Y387)/(72*Results!I386))*0.85</f>
        <v>83.090056617126692</v>
      </c>
      <c r="M386" s="12">
        <f t="shared" si="10"/>
        <v>2.8152866242038219</v>
      </c>
      <c r="N386">
        <v>138</v>
      </c>
      <c r="O386">
        <v>3.9</v>
      </c>
      <c r="P386">
        <v>105</v>
      </c>
    </row>
    <row r="387" spans="1:16" x14ac:dyDescent="0.25">
      <c r="A387">
        <f>Questionnaire!A388</f>
        <v>386</v>
      </c>
      <c r="B387" s="43" t="s">
        <v>32</v>
      </c>
      <c r="C387" s="51">
        <v>5</v>
      </c>
      <c r="D387" s="6">
        <v>12</v>
      </c>
      <c r="E387" s="10">
        <v>5</v>
      </c>
      <c r="F387" s="10">
        <v>1</v>
      </c>
      <c r="G387" s="10">
        <v>2</v>
      </c>
      <c r="H387" s="10">
        <v>2.8</v>
      </c>
      <c r="I387" s="12">
        <v>0.75</v>
      </c>
      <c r="J387" s="12">
        <f t="shared" ref="J387:J396" si="12">I387*16</f>
        <v>12</v>
      </c>
      <c r="K387" s="10">
        <v>3.3</v>
      </c>
      <c r="L387" s="12">
        <f>(((140-Questionnaire!B388)*Questionnaire!Y388)/(72*Results!I387))*0.85</f>
        <v>94.759259259259252</v>
      </c>
      <c r="M387" s="12">
        <f t="shared" ref="M387:M396" si="13">D387/J387</f>
        <v>1</v>
      </c>
      <c r="N387">
        <v>145</v>
      </c>
      <c r="O387">
        <v>4.4000000000000004</v>
      </c>
      <c r="P387">
        <v>107</v>
      </c>
    </row>
    <row r="388" spans="1:16" x14ac:dyDescent="0.25">
      <c r="A388">
        <f>Questionnaire!A389</f>
        <v>387</v>
      </c>
      <c r="B388" s="43" t="s">
        <v>11</v>
      </c>
      <c r="C388" s="6">
        <v>7.4</v>
      </c>
      <c r="D388" s="6">
        <v>14</v>
      </c>
      <c r="E388" s="10">
        <v>5</v>
      </c>
      <c r="F388" s="10">
        <v>1.8</v>
      </c>
      <c r="G388" s="10">
        <v>2</v>
      </c>
      <c r="H388" s="10">
        <v>2.2000000000000002</v>
      </c>
      <c r="I388" s="12">
        <v>1.1000000000000001</v>
      </c>
      <c r="J388" s="12">
        <f t="shared" si="12"/>
        <v>17.600000000000001</v>
      </c>
      <c r="K388" s="10">
        <v>6.4</v>
      </c>
      <c r="L388" s="12">
        <f>((140-Questionnaire!B389)*Questionnaire!Y389)/(72*Results!I388)</f>
        <v>90.151515151515142</v>
      </c>
      <c r="M388" s="12">
        <f t="shared" si="13"/>
        <v>0.79545454545454541</v>
      </c>
      <c r="N388">
        <v>143</v>
      </c>
      <c r="O388">
        <v>5.4</v>
      </c>
      <c r="P388">
        <v>105</v>
      </c>
    </row>
    <row r="389" spans="1:16" x14ac:dyDescent="0.25">
      <c r="A389">
        <f>Questionnaire!A390</f>
        <v>388</v>
      </c>
      <c r="B389" s="43" t="s">
        <v>32</v>
      </c>
      <c r="C389" s="51">
        <v>5.2</v>
      </c>
      <c r="D389" s="6">
        <v>8</v>
      </c>
      <c r="E389" s="10">
        <v>4</v>
      </c>
      <c r="F389" s="10">
        <v>1.4</v>
      </c>
      <c r="G389" s="10">
        <v>1</v>
      </c>
      <c r="H389" s="10">
        <v>2.1</v>
      </c>
      <c r="I389" s="12">
        <v>0.7</v>
      </c>
      <c r="J389" s="12">
        <f t="shared" si="12"/>
        <v>11.2</v>
      </c>
      <c r="K389" s="10">
        <v>3.5</v>
      </c>
      <c r="L389" s="12">
        <f>(((140-Questionnaire!B390)*Questionnaire!Y390)/(72*Results!I389))*0.85</f>
        <v>93.601190476190482</v>
      </c>
      <c r="M389" s="12">
        <f t="shared" si="13"/>
        <v>0.7142857142857143</v>
      </c>
      <c r="N389">
        <v>140</v>
      </c>
      <c r="O389">
        <v>3.6</v>
      </c>
      <c r="P389">
        <v>98</v>
      </c>
    </row>
    <row r="390" spans="1:16" x14ac:dyDescent="0.25">
      <c r="A390">
        <f>Questionnaire!A391</f>
        <v>389</v>
      </c>
      <c r="B390" s="43" t="s">
        <v>32</v>
      </c>
      <c r="C390" s="51">
        <v>6.7</v>
      </c>
      <c r="D390" s="6">
        <v>5</v>
      </c>
      <c r="E390" s="10">
        <v>3</v>
      </c>
      <c r="F390" s="10">
        <v>1.8</v>
      </c>
      <c r="G390" s="10">
        <v>1</v>
      </c>
      <c r="H390" s="10">
        <v>0.7</v>
      </c>
      <c r="I390" s="12">
        <f>49.72/88.4</f>
        <v>0.56244343891402715</v>
      </c>
      <c r="J390" s="12">
        <f t="shared" si="12"/>
        <v>8.9990950226244344</v>
      </c>
      <c r="K390" s="10">
        <v>4.3</v>
      </c>
      <c r="L390" s="12">
        <f>(((140-Questionnaire!B391)*Questionnaire!Y391)/(72*Results!I390))*0.85</f>
        <v>69.937896665772769</v>
      </c>
      <c r="M390" s="12">
        <f t="shared" si="13"/>
        <v>0.55561142397425578</v>
      </c>
      <c r="N390">
        <v>138</v>
      </c>
      <c r="O390">
        <v>3.9</v>
      </c>
      <c r="P390">
        <v>101</v>
      </c>
    </row>
    <row r="391" spans="1:16" x14ac:dyDescent="0.25">
      <c r="A391">
        <f>Questionnaire!A392</f>
        <v>390</v>
      </c>
      <c r="B391" s="43" t="s">
        <v>32</v>
      </c>
      <c r="C391" s="51">
        <v>8</v>
      </c>
      <c r="D391" s="6">
        <v>7</v>
      </c>
      <c r="E391" s="10">
        <v>4</v>
      </c>
      <c r="F391" s="10">
        <v>0.9</v>
      </c>
      <c r="G391" s="10">
        <v>1</v>
      </c>
      <c r="H391" s="10">
        <v>2.6</v>
      </c>
      <c r="I391" s="12">
        <f>64.54/88.4</f>
        <v>0.73009049773755663</v>
      </c>
      <c r="J391" s="12">
        <f t="shared" si="12"/>
        <v>11.681447963800906</v>
      </c>
      <c r="K391" s="10">
        <v>4</v>
      </c>
      <c r="L391" s="12">
        <f>(((140-Questionnaire!B392)*Questionnaire!Y392)/(72*Results!I391))*0.85</f>
        <v>95.079537237888644</v>
      </c>
      <c r="M391" s="12">
        <f t="shared" si="13"/>
        <v>0.59924078091106281</v>
      </c>
      <c r="N391">
        <v>144</v>
      </c>
      <c r="O391">
        <v>4.3</v>
      </c>
      <c r="P391">
        <v>110</v>
      </c>
    </row>
    <row r="392" spans="1:16" x14ac:dyDescent="0.25">
      <c r="A392">
        <f>Questionnaire!A393</f>
        <v>391</v>
      </c>
      <c r="B392" s="43" t="s">
        <v>32</v>
      </c>
      <c r="C392" s="6">
        <v>13.5</v>
      </c>
      <c r="D392" s="6">
        <v>64</v>
      </c>
      <c r="E392" s="10">
        <v>4</v>
      </c>
      <c r="F392" s="10">
        <v>0.8</v>
      </c>
      <c r="G392" s="10">
        <v>2</v>
      </c>
      <c r="H392" s="10">
        <v>2.2000000000000002</v>
      </c>
      <c r="I392" s="12">
        <f>87.22/88.4</f>
        <v>0.98665158371040718</v>
      </c>
      <c r="J392" s="12">
        <f t="shared" si="12"/>
        <v>15.786425339366515</v>
      </c>
      <c r="K392" s="10">
        <v>7</v>
      </c>
      <c r="L392" s="12">
        <f>(((140-Questionnaire!B393)*Questionnaire!Y393)/(72*Results!I392))*0.85</f>
        <v>44.86977375219751</v>
      </c>
      <c r="M392" s="12">
        <f t="shared" si="13"/>
        <v>4.054116028433846</v>
      </c>
      <c r="N392">
        <v>134</v>
      </c>
      <c r="O392">
        <v>4.9000000000000004</v>
      </c>
      <c r="P392">
        <v>100</v>
      </c>
    </row>
    <row r="393" spans="1:16" x14ac:dyDescent="0.25">
      <c r="A393">
        <f>Questionnaire!A394</f>
        <v>392</v>
      </c>
      <c r="B393" s="43" t="s">
        <v>32</v>
      </c>
      <c r="C393" s="6">
        <v>4.8</v>
      </c>
      <c r="D393" s="6">
        <v>34</v>
      </c>
      <c r="E393" s="10">
        <v>6</v>
      </c>
      <c r="F393" s="10">
        <v>1.2</v>
      </c>
      <c r="G393" s="10">
        <v>1</v>
      </c>
      <c r="H393" s="10">
        <v>4</v>
      </c>
      <c r="I393" s="12">
        <f>62.8/88.4</f>
        <v>0.71040723981900444</v>
      </c>
      <c r="J393" s="12">
        <f t="shared" si="12"/>
        <v>11.366515837104071</v>
      </c>
      <c r="K393" s="10">
        <v>5.0999999999999996</v>
      </c>
      <c r="L393" s="12">
        <f>(((140-Questionnaire!B394)*Questionnaire!Y394)/(72*Results!I393))*0.85</f>
        <v>81.89355980184007</v>
      </c>
      <c r="M393" s="12">
        <f t="shared" si="13"/>
        <v>2.9912420382165608</v>
      </c>
      <c r="N393">
        <v>141</v>
      </c>
      <c r="O393">
        <v>4.0999999999999996</v>
      </c>
      <c r="P393">
        <v>105</v>
      </c>
    </row>
    <row r="394" spans="1:16" x14ac:dyDescent="0.25">
      <c r="A394">
        <f>Questionnaire!A395</f>
        <v>393</v>
      </c>
      <c r="B394" s="43" t="s">
        <v>32</v>
      </c>
      <c r="C394" s="6">
        <v>5.0999999999999996</v>
      </c>
      <c r="D394" s="6">
        <v>56</v>
      </c>
      <c r="E394" s="10">
        <v>9</v>
      </c>
      <c r="F394" s="10">
        <v>1.5</v>
      </c>
      <c r="G394" s="10">
        <v>2</v>
      </c>
      <c r="H394" s="10">
        <v>3.2</v>
      </c>
      <c r="I394" s="12">
        <f>57.57/88.4</f>
        <v>0.65124434389140262</v>
      </c>
      <c r="J394" s="12">
        <f t="shared" si="12"/>
        <v>10.419909502262442</v>
      </c>
      <c r="K394" s="10">
        <v>4.5999999999999996</v>
      </c>
      <c r="L394" s="12">
        <f>(((140-Questionnaire!B395)*Questionnaire!Y395)/(72*Results!I394))*0.85</f>
        <v>78.075960666242082</v>
      </c>
      <c r="M394" s="12">
        <f t="shared" si="13"/>
        <v>5.3743269063748489</v>
      </c>
      <c r="N394">
        <v>149</v>
      </c>
      <c r="O394">
        <v>4.3</v>
      </c>
      <c r="P394">
        <v>111</v>
      </c>
    </row>
    <row r="395" spans="1:16" x14ac:dyDescent="0.25">
      <c r="A395">
        <f>Questionnaire!A396</f>
        <v>394</v>
      </c>
      <c r="B395" s="43" t="s">
        <v>11</v>
      </c>
      <c r="C395" s="6">
        <v>8.1999999999999993</v>
      </c>
      <c r="D395" s="54">
        <v>160</v>
      </c>
      <c r="E395" s="10">
        <v>4</v>
      </c>
      <c r="F395" s="10">
        <v>0.8</v>
      </c>
      <c r="G395" s="10">
        <v>1</v>
      </c>
      <c r="H395" s="10">
        <v>2.2000000000000002</v>
      </c>
      <c r="I395" s="12">
        <f>118.62/88.4</f>
        <v>1.3418552036199094</v>
      </c>
      <c r="J395" s="12">
        <f t="shared" si="12"/>
        <v>21.46968325791855</v>
      </c>
      <c r="K395" s="10">
        <v>7.3</v>
      </c>
      <c r="L395" s="12">
        <f>((140-Questionnaire!B396)*Questionnaire!Y396)/(72*Results!I395)</f>
        <v>52.166582363850956</v>
      </c>
      <c r="M395" s="12">
        <f t="shared" si="13"/>
        <v>7.4523689091215655</v>
      </c>
      <c r="N395">
        <v>140</v>
      </c>
      <c r="O395">
        <v>4.8</v>
      </c>
      <c r="P395">
        <v>106</v>
      </c>
    </row>
    <row r="396" spans="1:16" x14ac:dyDescent="0.25">
      <c r="A396">
        <f>Questionnaire!A397</f>
        <v>395</v>
      </c>
      <c r="B396" s="43" t="s">
        <v>11</v>
      </c>
      <c r="C396" s="6">
        <v>7</v>
      </c>
      <c r="D396" s="6">
        <v>20</v>
      </c>
      <c r="E396" s="10">
        <v>5</v>
      </c>
      <c r="F396" s="10">
        <v>1.3</v>
      </c>
      <c r="G396" s="10">
        <v>1.6</v>
      </c>
      <c r="H396" s="10">
        <v>2.8</v>
      </c>
      <c r="I396" s="12">
        <f>110/88.4</f>
        <v>1.244343891402715</v>
      </c>
      <c r="J396" s="12">
        <f t="shared" si="12"/>
        <v>19.909502262443439</v>
      </c>
      <c r="K396" s="10">
        <v>9</v>
      </c>
      <c r="L396" s="12">
        <f>((140-Questionnaire!B397)*Questionnaire!Y397)/(72*Results!I396)</f>
        <v>54.412878787878789</v>
      </c>
      <c r="M396" s="12">
        <f t="shared" si="13"/>
        <v>1.0045454545454546</v>
      </c>
      <c r="N396">
        <v>142</v>
      </c>
      <c r="O396">
        <v>3.8</v>
      </c>
      <c r="P396">
        <v>102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Questionnaire</vt:lpstr>
      <vt:lpstr>Drugs</vt:lpstr>
      <vt:lpstr>Results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CF Otieno</cp:lastModifiedBy>
  <cp:lastPrinted>2014-11-18T15:23:07Z</cp:lastPrinted>
  <dcterms:created xsi:type="dcterms:W3CDTF">2014-10-18T16:14:04Z</dcterms:created>
  <dcterms:modified xsi:type="dcterms:W3CDTF">2019-12-03T19:42:27Z</dcterms:modified>
</cp:coreProperties>
</file>